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180" windowWidth="15480" windowHeight="11580" tabRatio="690" activeTab="11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5" r:id="rId11"/>
    <sheet name="Diciembre" sheetId="16" r:id="rId12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Enero!$N$4</definedName>
    <definedName name="_xlnm.Print_Area" localSheetId="3">Abril!$A$1:$M$50</definedName>
    <definedName name="_xlnm.Print_Area" localSheetId="7">Agosto!$A$1:$M$50</definedName>
    <definedName name="_xlnm.Print_Area" localSheetId="11">Diciembre!$A$1:$M$50</definedName>
    <definedName name="_xlnm.Print_Area" localSheetId="0">Enero!$A$3:$M$52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10">Noviembre!$A$1:$M$50</definedName>
    <definedName name="_xlnm.Print_Area" localSheetId="9">Octubre!$A$1:$M$50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1">Diciembre!$L$4:$L$33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10">Noviembre!$L$4:$L$33</definedName>
    <definedName name="DíasDeTareas" localSheetId="9">Octubre!$L$4:$L$33</definedName>
    <definedName name="DíasDeTareas" localSheetId="8">Septiembre!$L$4:$L$33</definedName>
    <definedName name="DíasDeTareas">Enero!$L$6:$L$35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1">Diciembre!$L$4:$M$8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10">Noviembre!$L$4:$M$8</definedName>
    <definedName name="TablaFechasImportantes" localSheetId="9">Octubre!$L$4:$M$8</definedName>
    <definedName name="TablaFechasImportantes" localSheetId="8">Septiembre!$L$4:$M$8</definedName>
    <definedName name="TablaFechasImportantes">Enero!$L$6:$M$10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6" i="1" l="1"/>
  <c r="I11" i="1" l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<sst xmlns="http://schemas.openxmlformats.org/spreadsheetml/2006/main" count="320" uniqueCount="84">
  <si>
    <t>S</t>
  </si>
  <si>
    <t>M</t>
  </si>
  <si>
    <t>TAREAS</t>
  </si>
  <si>
    <t>ENERO</t>
  </si>
  <si>
    <t>L</t>
  </si>
  <si>
    <t>X</t>
  </si>
  <si>
    <t>J</t>
  </si>
  <si>
    <t>V</t>
  </si>
  <si>
    <t>D</t>
  </si>
  <si>
    <t>DICIEMBRE</t>
  </si>
  <si>
    <t>HORARIO SEMANAL</t>
  </si>
  <si>
    <t>LUN</t>
  </si>
  <si>
    <t>MAR</t>
  </si>
  <si>
    <t>MIÉ</t>
  </si>
  <si>
    <t>JUE</t>
  </si>
  <si>
    <t>VIE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</si>
  <si>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</si>
  <si>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</si>
  <si>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</si>
  <si>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</si>
  <si>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</si>
  <si>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</si>
  <si>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</si>
  <si>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</si>
  <si>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</si>
  <si>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</si>
  <si>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Nota:  las actividades frecuentes de la unidad de Transparencia son: contestar solicitudes de informacion, proteccion de datos personales, solucion a Recursos,asesoria a áreas del ayuntamiento, comunicación con el ITEI, estadisticas.</t>
  </si>
  <si>
    <t>Elaboracion de Avisos de Privacidad</t>
  </si>
  <si>
    <t>Asesoria via telefonica con el ITEI</t>
  </si>
  <si>
    <t>Asesoria a DIF Tecolotlan en materia de Transparencia</t>
  </si>
  <si>
    <t>Asesoria a Agentes y delegados en materia de Transparencia</t>
  </si>
  <si>
    <t>contestacion a ITEI RR2130</t>
  </si>
  <si>
    <t>Captura de SIRES,  Información del mes de enero</t>
  </si>
  <si>
    <t>Reunion con presidente</t>
  </si>
  <si>
    <t xml:space="preserve">capacitacion de contraloria </t>
  </si>
  <si>
    <t>Gestion de capacitacion para personal del Ayuntamiento en el ITEI</t>
  </si>
  <si>
    <t>Reunion con presidente, capacitaciones en el ITEI para PDP, Encargado de Agentes y Archivo</t>
  </si>
  <si>
    <t>Reunion con presidente, capacitaciones en el ITEI para personal de transparencia</t>
  </si>
  <si>
    <t xml:space="preserve">Asesoria de área con el ITEI </t>
  </si>
  <si>
    <t>del 25 febrero al 06 de marzo apoyo en eventos de carnaval 2019</t>
  </si>
  <si>
    <t>Reunión con Presidente, ajustes con el ITEI por convenio de Colaboración</t>
  </si>
  <si>
    <t>Captura de SIRES,  Información del mes de Febrero</t>
  </si>
  <si>
    <t xml:space="preserve">I Sesion ordinaria  de Comité de Transparencia, </t>
  </si>
  <si>
    <t>Reunión con Presidente</t>
  </si>
  <si>
    <t>Reunion y capacitacion para reasiganción de los articulos 8 y 15, Capacitacion en materia de PNT</t>
  </si>
  <si>
    <t>Asesoria y platicas informativas con el ITEI</t>
  </si>
  <si>
    <t>Capacitacion Regional sede Cocula en materia de Transparencia y PNT</t>
  </si>
  <si>
    <t>Nota:  las actividades frecuentes de la unidad de Transparencia son: contestar solicitudes de informacion, proteccion de datos personales, solucion a Recursos,asesoria a áreas del ayuntamiento, comunicación con el ITEI, estadisticas, sabado 23 reunion casa de la cultura con Maguistrada y diputada Irma de Anda.</t>
  </si>
  <si>
    <t>Captura de SIRES,  Información del mes de Marzo, asesoria a Dif Tecololtán, Dia Mundial de la Activacion Fisica</t>
  </si>
  <si>
    <t>Firma del Convenio con el ITEI en Chapala</t>
  </si>
  <si>
    <t xml:space="preserve">6to. Festival del mariachi, modificaciones con itei al Convenio </t>
  </si>
  <si>
    <t>recepcion de datos y captura de datos en sistemas</t>
  </si>
  <si>
    <t>2da revicion de convenio con itei</t>
  </si>
  <si>
    <t>Asesoria con el ITEI por RR</t>
  </si>
  <si>
    <t>Reunion con presidente, contestacion a recursos, contestacion a oficio del ITEI asesoria con el Gobierno del Estado por pagina web</t>
  </si>
  <si>
    <t xml:space="preserve">nota </t>
  </si>
  <si>
    <t>participacion en la Ruta ciclista del sabado 11 de mayo</t>
  </si>
  <si>
    <t>Rehabilitacion de la pagina del Gobierno del Estado</t>
  </si>
  <si>
    <t>capacitacion en materia de archivos</t>
  </si>
  <si>
    <t>seguimietno a la 2da parte de capacitacion de Archivos</t>
  </si>
  <si>
    <t>asesorias con el INEGI, llenado de Formatos</t>
  </si>
  <si>
    <t>llenado de Formatos del INEGI</t>
  </si>
  <si>
    <t>Entrega de Informacion del INEGI, reunion con presidente.</t>
  </si>
  <si>
    <t>atencion a Agentes y delegados</t>
  </si>
  <si>
    <t>reunion con presidente</t>
  </si>
  <si>
    <t>atencion a Agentes y Delegados</t>
  </si>
  <si>
    <t>capacitacion de Archivos</t>
  </si>
  <si>
    <t>capacitacion de archivos</t>
  </si>
  <si>
    <t>asesoria en el ITEI en Materia de sistemas y plataformas</t>
  </si>
  <si>
    <t>reunion por tema de la PNT, reunion con presidente</t>
  </si>
  <si>
    <t>Asesoria con el ITEI por suspension de terminos</t>
  </si>
  <si>
    <t xml:space="preserve"> reunion en el ITEI capacitacion sobre  V.P. en documentos, reunion con presidente</t>
  </si>
  <si>
    <t>contestacion a Recursos ante ITEI</t>
  </si>
  <si>
    <t>capacitacion sobre redes sociales  por parte del ITEI</t>
  </si>
  <si>
    <t>asesoria en el ITEI en Materia Juridica</t>
  </si>
  <si>
    <t>nota</t>
  </si>
  <si>
    <t>Informe de Gobierno de Tecolotlan</t>
  </si>
  <si>
    <t>asesoria en el ITEI en materia de Sistemas y plataformas</t>
  </si>
  <si>
    <t>capacitacion en materia de PDP</t>
  </si>
  <si>
    <t>II Sesion de Comité de Transparencia</t>
  </si>
  <si>
    <t>III Sesion del comité de Transparencia</t>
  </si>
  <si>
    <t>capacitacion en materia de archivos en la casa de la cultura</t>
  </si>
  <si>
    <t>desfile del 20 de noviembre</t>
  </si>
  <si>
    <t xml:space="preserve">capacitacion de Archivos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</si>
</sst>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5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8.5"/>
      <color rgb="FFFF0000"/>
      <name val="Arial"/>
      <family val="2"/>
      <scheme val="minor"/>
    </font>
    <font>
      <sz val="8.5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91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18" fillId="0" borderId="3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23" fillId="5" borderId="45" xfId="0" applyNumberFormat="1" applyFont="1" applyFill="1" applyBorder="1" applyAlignment="1">
      <alignment horizontal="center" vertical="top" wrapText="1"/>
    </xf>
    <xf numFmtId="49" fontId="23" fillId="5" borderId="46" xfId="0" applyNumberFormat="1" applyFont="1" applyFill="1" applyBorder="1" applyAlignment="1">
      <alignment horizontal="center" vertical="top" wrapText="1"/>
    </xf>
    <xf numFmtId="49" fontId="23" fillId="5" borderId="28" xfId="0" applyNumberFormat="1" applyFont="1" applyFill="1" applyBorder="1" applyAlignment="1">
      <alignment horizontal="center" vertical="top" wrapText="1"/>
    </xf>
    <xf numFmtId="49" fontId="23" fillId="5" borderId="7" xfId="0" applyNumberFormat="1" applyFont="1" applyFill="1" applyBorder="1" applyAlignment="1">
      <alignment horizontal="center" vertical="top" wrapText="1"/>
    </xf>
    <xf numFmtId="49" fontId="23" fillId="5" borderId="0" xfId="0" applyNumberFormat="1" applyFont="1" applyFill="1" applyBorder="1" applyAlignment="1">
      <alignment horizontal="center" vertical="top" wrapText="1"/>
    </xf>
    <xf numFmtId="49" fontId="23" fillId="5" borderId="16" xfId="0" applyNumberFormat="1" applyFont="1" applyFill="1" applyBorder="1" applyAlignment="1">
      <alignment horizontal="center" vertical="top" wrapTex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0" fontId="15" fillId="5" borderId="27" xfId="0" applyFont="1" applyFill="1" applyBorder="1" applyAlignment="1">
      <alignment horizontal="left" vertical="top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18" fillId="0" borderId="3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24" fillId="5" borderId="42" xfId="0" applyFont="1" applyFill="1" applyBorder="1" applyAlignment="1">
      <alignment horizontal="center" vertical="top"/>
    </xf>
    <xf numFmtId="0" fontId="24" fillId="5" borderId="14" xfId="0" applyFont="1" applyFill="1" applyBorder="1" applyAlignment="1">
      <alignment horizontal="center" vertical="top"/>
    </xf>
    <xf numFmtId="0" fontId="24" fillId="5" borderId="15" xfId="0" applyFont="1" applyFill="1" applyBorder="1" applyAlignment="1">
      <alignment horizontal="center" vertical="top"/>
    </xf>
    <xf numFmtId="0" fontId="18" fillId="0" borderId="3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7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70"/>
      <tableStyleElement type="headerRow" dxfId="69"/>
      <tableStyleElement type="totalRow" dxfId="68"/>
      <tableStyleElement type="firstColumn" dxfId="67"/>
      <tableStyleElement type="lastColumn" dxfId="66"/>
      <tableStyleElement type="firstRowStripe" dxfId="65"/>
      <tableStyleElement type="firstColumnStripe" dxfId="64"/>
    </tableStyle>
    <tableStyle name="TableStyleLight9 2" pivot="0" count="4">
      <tableStyleElement type="wholeTable" dxfId="63"/>
      <tableStyleElement type="headerRow" dxfId="62"/>
      <tableStyleElement type="totalRow" dxfId="61"/>
      <tableStyleElement type="firstColumn" dxfId="6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N$4" max="2999" min="1900" page="10" val="201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</xdr:row>
          <xdr:rowOff>85725</xdr:rowOff>
        </xdr:from>
        <xdr:to>
          <xdr:col>15</xdr:col>
          <xdr:colOff>0</xdr:colOff>
          <xdr:row>4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3:AO35"/>
  <sheetViews>
    <sheetView showGridLines="0" zoomScaleNormal="100" zoomScalePageLayoutView="84" workbookViewId="0">
      <selection activeCell="V20" sqref="V20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3" spans="1:14" ht="11.25" customHeight="1" x14ac:dyDescent="0.2"/>
    <row r="4" spans="1:14" ht="18" customHeight="1" x14ac:dyDescent="0.2">
      <c r="A4" s="4"/>
      <c r="B4" s="35" t="s">
        <v>3</v>
      </c>
      <c r="C4" s="21"/>
      <c r="D4" s="21"/>
      <c r="E4" s="21"/>
      <c r="F4" s="21"/>
      <c r="G4" s="21"/>
      <c r="H4" s="21"/>
      <c r="I4" s="21"/>
      <c r="J4" s="22"/>
      <c r="K4" s="73" t="s">
        <v>2</v>
      </c>
      <c r="L4" s="74">
        <v>2013</v>
      </c>
      <c r="M4" s="74"/>
      <c r="N4" s="80">
        <v>2019</v>
      </c>
    </row>
    <row r="5" spans="1:14" ht="21" customHeight="1" x14ac:dyDescent="0.2">
      <c r="A5" s="4"/>
      <c r="B5" s="36"/>
      <c r="C5" s="2" t="s">
        <v>4</v>
      </c>
      <c r="D5" s="2" t="s">
        <v>1</v>
      </c>
      <c r="E5" s="2" t="s">
        <v>5</v>
      </c>
      <c r="F5" s="2" t="s">
        <v>6</v>
      </c>
      <c r="G5" s="2" t="s">
        <v>7</v>
      </c>
      <c r="H5" s="2" t="s">
        <v>0</v>
      </c>
      <c r="I5" s="2" t="s">
        <v>8</v>
      </c>
      <c r="J5" s="5"/>
      <c r="K5" s="75"/>
      <c r="L5" s="76"/>
      <c r="M5" s="76"/>
      <c r="N5" s="81"/>
    </row>
    <row r="6" spans="1:14" ht="18" customHeight="1" x14ac:dyDescent="0.2">
      <c r="A6" s="4"/>
      <c r="B6" s="36"/>
      <c r="C6" s="10">
        <f>IF(DAY(JanSun1)=1,JanSun1-6,JanSun1+1)</f>
        <v>43465</v>
      </c>
      <c r="D6" s="10">
        <f>IF(DAY(JanSun1)=1,JanSun1-5,JanSun1+2)</f>
        <v>43466</v>
      </c>
      <c r="E6" s="10">
        <f>IF(DAY(JanSun1)=1,JanSun1-4,JanSun1+3)</f>
        <v>43467</v>
      </c>
      <c r="F6" s="10">
        <f>IF(DAY(JanSun1)=1,JanSun1-3,JanSun1+4)</f>
        <v>43468</v>
      </c>
      <c r="G6" s="10">
        <f>IF(DAY(JanSun1)=1,JanSun1-2,JanSun1+5)</f>
        <v>43469</v>
      </c>
      <c r="H6" s="10">
        <f>IF(DAY(JanSun1)=1,JanSun1-1,JanSun1+6)</f>
        <v>43470</v>
      </c>
      <c r="I6" s="10">
        <f>IF(DAY(JanSun1)=1,JanSun1,JanSun1+7)</f>
        <v>43471</v>
      </c>
      <c r="J6" s="5"/>
      <c r="K6" s="77" t="s">
        <v>11</v>
      </c>
      <c r="L6" s="16"/>
      <c r="M6" s="78"/>
      <c r="N6" s="79"/>
    </row>
    <row r="7" spans="1:14" ht="18" customHeight="1" x14ac:dyDescent="0.2">
      <c r="A7" s="4"/>
      <c r="B7" s="36"/>
      <c r="C7" s="10">
        <f>IF(DAY(JanSun1)=1,JanSun1+1,JanSun1+8)</f>
        <v>43472</v>
      </c>
      <c r="D7" s="10">
        <f>IF(DAY(JanSun1)=1,JanSun1+2,JanSun1+9)</f>
        <v>43473</v>
      </c>
      <c r="E7" s="10">
        <f>IF(DAY(JanSun1)=1,JanSun1+3,JanSun1+10)</f>
        <v>43474</v>
      </c>
      <c r="F7" s="10">
        <f>IF(DAY(JanSun1)=1,JanSun1+4,JanSun1+11)</f>
        <v>43475</v>
      </c>
      <c r="G7" s="10">
        <f>IF(DAY(JanSun1)=1,JanSun1+5,JanSun1+12)</f>
        <v>43476</v>
      </c>
      <c r="H7" s="10">
        <f>IF(DAY(JanSun1)=1,JanSun1+6,JanSun1+13)</f>
        <v>43477</v>
      </c>
      <c r="I7" s="10">
        <f>IF(DAY(JanSun1)=1,JanSun1+7,JanSun1+14)</f>
        <v>43478</v>
      </c>
      <c r="J7" s="5"/>
      <c r="K7" s="66"/>
      <c r="L7" s="17"/>
      <c r="M7" s="33"/>
      <c r="N7" s="34"/>
    </row>
    <row r="8" spans="1:14" ht="18" customHeight="1" x14ac:dyDescent="0.2">
      <c r="A8" s="4"/>
      <c r="B8" s="36"/>
      <c r="C8" s="10">
        <f>IF(DAY(JanSun1)=1,JanSun1+8,JanSun1+15)</f>
        <v>43479</v>
      </c>
      <c r="D8" s="10">
        <f>IF(DAY(JanSun1)=1,JanSun1+9,JanSun1+16)</f>
        <v>43480</v>
      </c>
      <c r="E8" s="10">
        <f>IF(DAY(JanSun1)=1,JanSun1+10,JanSun1+17)</f>
        <v>43481</v>
      </c>
      <c r="F8" s="10">
        <f>IF(DAY(JanSun1)=1,JanSun1+11,JanSun1+18)</f>
        <v>43482</v>
      </c>
      <c r="G8" s="10">
        <f>IF(DAY(JanSun1)=1,JanSun1+12,JanSun1+19)</f>
        <v>43483</v>
      </c>
      <c r="H8" s="10">
        <f>IF(DAY(JanSun1)=1,JanSun1+13,JanSun1+20)</f>
        <v>43484</v>
      </c>
      <c r="I8" s="10">
        <f>IF(DAY(JanSun1)=1,JanSun1+14,JanSun1+21)</f>
        <v>43485</v>
      </c>
      <c r="J8" s="5"/>
      <c r="K8" s="66"/>
      <c r="L8" s="17"/>
      <c r="M8" s="33"/>
      <c r="N8" s="34"/>
    </row>
    <row r="9" spans="1:14" ht="18" customHeight="1" x14ac:dyDescent="0.2">
      <c r="A9" s="4"/>
      <c r="B9" s="36"/>
      <c r="C9" s="10">
        <f>IF(DAY(JanSun1)=1,JanSun1+15,JanSun1+22)</f>
        <v>43486</v>
      </c>
      <c r="D9" s="10">
        <f>IF(DAY(JanSun1)=1,JanSun1+16,JanSun1+23)</f>
        <v>43487</v>
      </c>
      <c r="E9" s="10">
        <f>IF(DAY(JanSun1)=1,JanSun1+17,JanSun1+24)</f>
        <v>43488</v>
      </c>
      <c r="F9" s="10">
        <f>IF(DAY(JanSun1)=1,JanSun1+18,JanSun1+25)</f>
        <v>43489</v>
      </c>
      <c r="G9" s="10">
        <f>IF(DAY(JanSun1)=1,JanSun1+19,JanSun1+26)</f>
        <v>43490</v>
      </c>
      <c r="H9" s="10">
        <f>IF(DAY(JanSun1)=1,JanSun1+20,JanSun1+27)</f>
        <v>43491</v>
      </c>
      <c r="I9" s="10">
        <f>IF(DAY(JanSun1)=1,JanSun1+21,JanSun1+28)</f>
        <v>43492</v>
      </c>
      <c r="J9" s="5"/>
      <c r="K9" s="11"/>
      <c r="L9" s="17"/>
      <c r="M9" s="33"/>
      <c r="N9" s="34"/>
    </row>
    <row r="10" spans="1:14" ht="18.75" customHeight="1" x14ac:dyDescent="0.2">
      <c r="A10" s="4"/>
      <c r="B10" s="36"/>
      <c r="C10" s="10">
        <f>IF(DAY(JanSun1)=1,JanSun1+22,JanSun1+29)</f>
        <v>43493</v>
      </c>
      <c r="D10" s="10">
        <f>IF(DAY(JanSun1)=1,JanSun1+23,JanSun1+30)</f>
        <v>43494</v>
      </c>
      <c r="E10" s="10">
        <f>IF(DAY(JanSun1)=1,JanSun1+24,JanSun1+31)</f>
        <v>43495</v>
      </c>
      <c r="F10" s="10">
        <f>IF(DAY(JanSun1)=1,JanSun1+25,JanSun1+32)</f>
        <v>43496</v>
      </c>
      <c r="G10" s="10">
        <f>IF(DAY(JanSun1)=1,JanSun1+26,JanSun1+33)</f>
        <v>43497</v>
      </c>
      <c r="H10" s="10">
        <f>IF(DAY(JanSun1)=1,JanSun1+27,JanSun1+34)</f>
        <v>43498</v>
      </c>
      <c r="I10" s="10">
        <f>IF(DAY(JanSun1)=1,JanSun1+28,JanSun1+35)</f>
        <v>43499</v>
      </c>
      <c r="J10" s="5"/>
      <c r="K10" s="11"/>
      <c r="L10" s="17"/>
      <c r="M10" s="33"/>
      <c r="N10" s="34"/>
    </row>
    <row r="11" spans="1:14" ht="18" customHeight="1" x14ac:dyDescent="0.2">
      <c r="A11" s="4"/>
      <c r="B11" s="36"/>
      <c r="C11" s="10">
        <f>IF(DAY(JanSun1)=1,JanSun1+29,JanSun1+36)</f>
        <v>43500</v>
      </c>
      <c r="D11" s="10">
        <f>IF(DAY(JanSun1)=1,JanSun1+30,JanSun1+37)</f>
        <v>43501</v>
      </c>
      <c r="E11" s="10">
        <f>IF(DAY(JanSun1)=1,JanSun1+31,JanSun1+38)</f>
        <v>43502</v>
      </c>
      <c r="F11" s="10">
        <f>IF(DAY(JanSun1)=1,JanSun1+32,JanSun1+39)</f>
        <v>43503</v>
      </c>
      <c r="G11" s="10">
        <f>IF(DAY(JanSun1)=1,JanSun1+33,JanSun1+40)</f>
        <v>43504</v>
      </c>
      <c r="H11" s="10">
        <f>IF(DAY(JanSun1)=1,JanSun1+34,JanSun1+41)</f>
        <v>43505</v>
      </c>
      <c r="I11" s="10">
        <f>IF(DAY(JanSun1)=1,JanSun1+35,JanSun1+42)</f>
        <v>43506</v>
      </c>
      <c r="J11" s="5"/>
      <c r="K11" s="12"/>
      <c r="L11" s="18"/>
      <c r="M11" s="29"/>
      <c r="N11" s="30"/>
    </row>
    <row r="12" spans="1:14" ht="18" customHeight="1" x14ac:dyDescent="0.2">
      <c r="A12" s="4"/>
      <c r="B12" s="37"/>
      <c r="C12" s="23"/>
      <c r="D12" s="23"/>
      <c r="E12" s="23"/>
      <c r="F12" s="23"/>
      <c r="G12" s="23"/>
      <c r="H12" s="23"/>
      <c r="I12" s="23"/>
      <c r="J12" s="24"/>
      <c r="K12" s="65" t="s">
        <v>12</v>
      </c>
      <c r="L12" s="16"/>
      <c r="M12" s="31"/>
      <c r="N12" s="32"/>
    </row>
    <row r="13" spans="1:14" ht="18" customHeight="1" x14ac:dyDescent="0.2">
      <c r="A13" s="4"/>
      <c r="B13" s="38" t="s">
        <v>10</v>
      </c>
      <c r="C13" s="39"/>
      <c r="D13" s="39"/>
      <c r="E13" s="39"/>
      <c r="F13" s="39"/>
      <c r="G13" s="39"/>
      <c r="H13" s="39"/>
      <c r="I13" s="39"/>
      <c r="J13" s="40"/>
      <c r="K13" s="66"/>
      <c r="L13" s="17"/>
      <c r="M13" s="33"/>
      <c r="N13" s="34"/>
    </row>
    <row r="14" spans="1:14" ht="18" customHeight="1" x14ac:dyDescent="0.2">
      <c r="A14" s="4"/>
      <c r="B14" s="38"/>
      <c r="C14" s="39"/>
      <c r="D14" s="39"/>
      <c r="E14" s="39"/>
      <c r="F14" s="39"/>
      <c r="G14" s="39"/>
      <c r="H14" s="39"/>
      <c r="I14" s="39"/>
      <c r="J14" s="40"/>
      <c r="K14" s="66"/>
      <c r="L14" s="17">
        <v>8</v>
      </c>
      <c r="M14" s="33" t="s">
        <v>29</v>
      </c>
      <c r="N14" s="34"/>
    </row>
    <row r="15" spans="1:14" ht="18" customHeight="1" x14ac:dyDescent="0.2">
      <c r="B15" s="3" t="s">
        <v>11</v>
      </c>
      <c r="C15" s="67" t="s">
        <v>12</v>
      </c>
      <c r="D15" s="69"/>
      <c r="E15" s="67" t="s">
        <v>13</v>
      </c>
      <c r="F15" s="69"/>
      <c r="G15" s="67" t="s">
        <v>14</v>
      </c>
      <c r="H15" s="69"/>
      <c r="I15" s="67" t="s">
        <v>15</v>
      </c>
      <c r="J15" s="68"/>
      <c r="K15" s="11"/>
      <c r="L15" s="17"/>
      <c r="M15" s="33"/>
      <c r="N15" s="34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41"/>
      <c r="J16" s="42"/>
      <c r="K16" s="11"/>
      <c r="L16" s="17">
        <v>22</v>
      </c>
      <c r="M16" s="33" t="s">
        <v>31</v>
      </c>
      <c r="N16" s="34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13"/>
      <c r="L17" s="19"/>
      <c r="M17" s="29"/>
      <c r="N17" s="30"/>
    </row>
    <row r="18" spans="2:14" ht="18" customHeight="1" x14ac:dyDescent="0.2">
      <c r="B18" s="8"/>
      <c r="C18" s="41"/>
      <c r="D18" s="45"/>
      <c r="E18" s="41"/>
      <c r="F18" s="45"/>
      <c r="G18" s="41"/>
      <c r="H18" s="45"/>
      <c r="I18" s="50"/>
      <c r="J18" s="51"/>
      <c r="K18" s="82" t="s">
        <v>13</v>
      </c>
      <c r="L18" s="16"/>
      <c r="M18" s="31"/>
      <c r="N18" s="32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83"/>
      <c r="L19" s="17">
        <v>9</v>
      </c>
      <c r="M19" s="33" t="s">
        <v>28</v>
      </c>
      <c r="N19" s="34"/>
    </row>
    <row r="20" spans="2:14" ht="18" customHeight="1" x14ac:dyDescent="0.2">
      <c r="B20" s="9"/>
      <c r="C20" s="52"/>
      <c r="D20" s="53"/>
      <c r="E20" s="52"/>
      <c r="F20" s="53"/>
      <c r="G20" s="52"/>
      <c r="H20" s="53"/>
      <c r="I20" s="52"/>
      <c r="J20" s="70"/>
      <c r="K20" s="83"/>
      <c r="L20" s="17">
        <v>16</v>
      </c>
      <c r="M20" s="33" t="s">
        <v>27</v>
      </c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8"/>
      <c r="J21" s="49"/>
      <c r="K21" s="11"/>
      <c r="L21" s="17"/>
      <c r="M21" s="33"/>
      <c r="N21" s="34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11"/>
      <c r="L22" s="17"/>
      <c r="M22" s="33"/>
      <c r="N22" s="34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3"/>
      <c r="J23" s="44"/>
      <c r="K23" s="13"/>
      <c r="L23" s="19"/>
      <c r="M23" s="29"/>
      <c r="N23" s="30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2" t="s">
        <v>14</v>
      </c>
      <c r="L24" s="16"/>
      <c r="M24" s="31"/>
      <c r="N24" s="32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/>
      <c r="M25" s="33"/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83"/>
      <c r="L26" s="17">
        <v>17</v>
      </c>
      <c r="M26" s="33" t="s">
        <v>29</v>
      </c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83"/>
      <c r="L27" s="17"/>
      <c r="M27" s="33"/>
      <c r="N27" s="34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11"/>
      <c r="L28" s="17">
        <v>31</v>
      </c>
      <c r="M28" s="33" t="s">
        <v>30</v>
      </c>
      <c r="N28" s="34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8"/>
      <c r="J29" s="49"/>
      <c r="K29" s="13"/>
      <c r="L29" s="19"/>
      <c r="M29" s="29"/>
      <c r="N29" s="30"/>
    </row>
    <row r="30" spans="2:14" ht="18" customHeight="1" x14ac:dyDescent="0.2">
      <c r="B30" s="8"/>
      <c r="C30" s="41"/>
      <c r="D30" s="45"/>
      <c r="E30" s="41"/>
      <c r="F30" s="45"/>
      <c r="G30" s="41"/>
      <c r="H30" s="45"/>
      <c r="I30" s="41"/>
      <c r="J30" s="42"/>
      <c r="K30" s="65" t="s">
        <v>15</v>
      </c>
      <c r="L30" s="16"/>
      <c r="M30" s="31"/>
      <c r="N30" s="32"/>
    </row>
    <row r="31" spans="2:14" ht="18" customHeight="1" x14ac:dyDescent="0.2">
      <c r="B31" s="6"/>
      <c r="C31" s="46"/>
      <c r="D31" s="47"/>
      <c r="E31" s="46"/>
      <c r="F31" s="47"/>
      <c r="G31" s="46"/>
      <c r="H31" s="47"/>
      <c r="I31" s="46"/>
      <c r="J31" s="64"/>
      <c r="K31" s="66"/>
      <c r="L31" s="17"/>
      <c r="M31" s="33"/>
      <c r="N31" s="34"/>
    </row>
    <row r="32" spans="2:14" ht="18" customHeight="1" x14ac:dyDescent="0.2">
      <c r="B32" s="56" t="s">
        <v>26</v>
      </c>
      <c r="C32" s="57"/>
      <c r="D32" s="57"/>
      <c r="E32" s="57"/>
      <c r="F32" s="57"/>
      <c r="G32" s="57"/>
      <c r="H32" s="57"/>
      <c r="I32" s="57"/>
      <c r="J32" s="58"/>
      <c r="K32" s="66"/>
      <c r="L32" s="17">
        <v>18</v>
      </c>
      <c r="M32" s="33" t="s">
        <v>28</v>
      </c>
      <c r="N32" s="34"/>
    </row>
    <row r="33" spans="2:14" ht="18" customHeight="1" x14ac:dyDescent="0.2">
      <c r="B33" s="59"/>
      <c r="C33" s="60"/>
      <c r="D33" s="60"/>
      <c r="E33" s="60"/>
      <c r="F33" s="60"/>
      <c r="G33" s="60"/>
      <c r="H33" s="60"/>
      <c r="I33" s="60"/>
      <c r="J33" s="61"/>
      <c r="K33" s="14"/>
      <c r="L33" s="17"/>
      <c r="M33" s="33"/>
      <c r="N33" s="34"/>
    </row>
    <row r="34" spans="2:14" ht="18" customHeight="1" x14ac:dyDescent="0.2">
      <c r="B34" s="59"/>
      <c r="C34" s="60"/>
      <c r="D34" s="60"/>
      <c r="E34" s="60"/>
      <c r="F34" s="60"/>
      <c r="G34" s="60"/>
      <c r="H34" s="60"/>
      <c r="I34" s="60"/>
      <c r="J34" s="61"/>
      <c r="K34" s="14"/>
      <c r="L34" s="17"/>
      <c r="M34" s="33"/>
      <c r="N34" s="34"/>
    </row>
    <row r="35" spans="2:14" ht="18" customHeight="1" x14ac:dyDescent="0.2">
      <c r="B35" s="7"/>
      <c r="C35" s="54"/>
      <c r="D35" s="55"/>
      <c r="E35" s="54"/>
      <c r="F35" s="55"/>
      <c r="G35" s="54"/>
      <c r="H35" s="55"/>
      <c r="I35" s="62"/>
      <c r="J35" s="63"/>
      <c r="K35" s="15"/>
      <c r="L35" s="20"/>
      <c r="M35" s="71"/>
      <c r="N35" s="72"/>
    </row>
  </sheetData>
  <mergeCells count="112">
    <mergeCell ref="M16:N16"/>
    <mergeCell ref="M17:N17"/>
    <mergeCell ref="M18:N18"/>
    <mergeCell ref="M19:N19"/>
    <mergeCell ref="M20:N20"/>
    <mergeCell ref="M21:N21"/>
    <mergeCell ref="M22:N22"/>
    <mergeCell ref="C21:D21"/>
    <mergeCell ref="C22:D22"/>
    <mergeCell ref="C24:D24"/>
    <mergeCell ref="C25:D25"/>
    <mergeCell ref="C16:D16"/>
    <mergeCell ref="C17:D17"/>
    <mergeCell ref="K18:K20"/>
    <mergeCell ref="K24:K27"/>
    <mergeCell ref="E15:F15"/>
    <mergeCell ref="C15:D15"/>
    <mergeCell ref="E19:F19"/>
    <mergeCell ref="E18:F18"/>
    <mergeCell ref="E17:F17"/>
    <mergeCell ref="E16:F16"/>
    <mergeCell ref="E25:F25"/>
    <mergeCell ref="E24:F24"/>
    <mergeCell ref="E23:F23"/>
    <mergeCell ref="E22:F22"/>
    <mergeCell ref="E21:F21"/>
    <mergeCell ref="K4:M5"/>
    <mergeCell ref="K12:K14"/>
    <mergeCell ref="K6:K8"/>
    <mergeCell ref="M6:N6"/>
    <mergeCell ref="M7:N7"/>
    <mergeCell ref="M8:N8"/>
    <mergeCell ref="M9:N9"/>
    <mergeCell ref="M10:N10"/>
    <mergeCell ref="M11:N11"/>
    <mergeCell ref="M12:N12"/>
    <mergeCell ref="M13:N13"/>
    <mergeCell ref="N4:N5"/>
    <mergeCell ref="M14:N14"/>
    <mergeCell ref="M15:N15"/>
    <mergeCell ref="G30:H30"/>
    <mergeCell ref="G31:H31"/>
    <mergeCell ref="G35:H35"/>
    <mergeCell ref="I35:J35"/>
    <mergeCell ref="I30:J30"/>
    <mergeCell ref="I31:J31"/>
    <mergeCell ref="K30:K32"/>
    <mergeCell ref="I15:J15"/>
    <mergeCell ref="G15:H15"/>
    <mergeCell ref="I21:J21"/>
    <mergeCell ref="I19:J19"/>
    <mergeCell ref="G20:H20"/>
    <mergeCell ref="I20:J20"/>
    <mergeCell ref="G21:H21"/>
    <mergeCell ref="I24:J24"/>
    <mergeCell ref="I25:J25"/>
    <mergeCell ref="G24:H24"/>
    <mergeCell ref="G25:H25"/>
    <mergeCell ref="G19:H19"/>
    <mergeCell ref="M33:N33"/>
    <mergeCell ref="M34:N34"/>
    <mergeCell ref="M35:N35"/>
    <mergeCell ref="M28:N28"/>
    <mergeCell ref="C31:D31"/>
    <mergeCell ref="C35:D35"/>
    <mergeCell ref="C26:D26"/>
    <mergeCell ref="C27:D27"/>
    <mergeCell ref="C28:D28"/>
    <mergeCell ref="C29:D29"/>
    <mergeCell ref="C30:D30"/>
    <mergeCell ref="B32:J34"/>
    <mergeCell ref="E30:F30"/>
    <mergeCell ref="E29:F29"/>
    <mergeCell ref="E28:F28"/>
    <mergeCell ref="E27:F27"/>
    <mergeCell ref="E26:F26"/>
    <mergeCell ref="E35:F35"/>
    <mergeCell ref="E31:F31"/>
    <mergeCell ref="G26:H26"/>
    <mergeCell ref="I26:J26"/>
    <mergeCell ref="G27:H27"/>
    <mergeCell ref="G28:H28"/>
    <mergeCell ref="G29:H29"/>
    <mergeCell ref="I27:J27"/>
    <mergeCell ref="I28:J28"/>
    <mergeCell ref="I29:J29"/>
    <mergeCell ref="B4:B12"/>
    <mergeCell ref="B13:J14"/>
    <mergeCell ref="I22:J22"/>
    <mergeCell ref="I23:J23"/>
    <mergeCell ref="G16:H16"/>
    <mergeCell ref="I16:J16"/>
    <mergeCell ref="G17:H17"/>
    <mergeCell ref="I17:J17"/>
    <mergeCell ref="G18:H18"/>
    <mergeCell ref="I18:J18"/>
    <mergeCell ref="G22:H22"/>
    <mergeCell ref="G23:H23"/>
    <mergeCell ref="C18:D18"/>
    <mergeCell ref="C19:D19"/>
    <mergeCell ref="C20:D20"/>
    <mergeCell ref="E20:F20"/>
    <mergeCell ref="C23:D23"/>
    <mergeCell ref="M29:N29"/>
    <mergeCell ref="M30:N30"/>
    <mergeCell ref="M31:N31"/>
    <mergeCell ref="M32:N32"/>
    <mergeCell ref="M23:N23"/>
    <mergeCell ref="M24:N24"/>
    <mergeCell ref="M25:N25"/>
    <mergeCell ref="M26:N26"/>
    <mergeCell ref="M27:N27"/>
  </mergeCells>
  <phoneticPr fontId="2" type="noConversion"/>
  <conditionalFormatting sqref="C6:H6">
    <cfRule type="expression" dxfId="59" priority="5" stopIfTrue="1">
      <formula>DAY(C6)&gt;8</formula>
    </cfRule>
  </conditionalFormatting>
  <conditionalFormatting sqref="C10:I12">
    <cfRule type="expression" dxfId="58" priority="4" stopIfTrue="1">
      <formula>AND(DAY(C10)&gt;=1,DAY(C10)&lt;=15)</formula>
    </cfRule>
  </conditionalFormatting>
  <conditionalFormatting sqref="C6:I11">
    <cfRule type="expression" dxfId="57" priority="16">
      <formula>VLOOKUP(DAY(C6),DíasDeTareas,1,FALSE)=DAY(C6)</formula>
    </cfRule>
  </conditionalFormatting>
  <conditionalFormatting sqref="B16:J31 B35:J35">
    <cfRule type="expression" dxfId="56" priority="2">
      <formula>B16&lt;&gt;""</formula>
    </cfRule>
  </conditionalFormatting>
  <conditionalFormatting sqref="B32">
    <cfRule type="expression" dxfId="55" priority="1">
      <formula>B32&lt;&gt;""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4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3</xdr:row>
                    <xdr:rowOff>85725</xdr:rowOff>
                  </from>
                  <to>
                    <xdr:col>15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M25" sqref="M25:N2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17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IF(DAY(OctDom1)=1,OctDom1-6,OctDom1+1)</f>
        <v>43738</v>
      </c>
      <c r="D4" s="10">
        <f>IF(DAY(OctDom1)=1,OctDom1-5,OctDom1+2)</f>
        <v>43739</v>
      </c>
      <c r="E4" s="10">
        <f>IF(DAY(OctDom1)=1,OctDom1-4,OctDom1+3)</f>
        <v>43740</v>
      </c>
      <c r="F4" s="10">
        <f>IF(DAY(OctDom1)=1,OctDom1-3,OctDom1+4)</f>
        <v>43741</v>
      </c>
      <c r="G4" s="10">
        <f>IF(DAY(OctDom1)=1,OctDom1-2,OctDom1+5)</f>
        <v>43742</v>
      </c>
      <c r="H4" s="10">
        <f>IF(DAY(OctDom1)=1,OctDom1-1,OctDom1+6)</f>
        <v>43743</v>
      </c>
      <c r="I4" s="10">
        <f>IF(DAY(OctDom1)=1,OctDom1,OctDom1+7)</f>
        <v>43744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IF(DAY(OctDom1)=1,OctDom1+1,OctDom1+8)</f>
        <v>43745</v>
      </c>
      <c r="D5" s="10">
        <f>IF(DAY(OctDom1)=1,OctDom1+2,OctDom1+9)</f>
        <v>43746</v>
      </c>
      <c r="E5" s="10">
        <f>IF(DAY(OctDom1)=1,OctDom1+3,OctDom1+10)</f>
        <v>43747</v>
      </c>
      <c r="F5" s="10">
        <f>IF(DAY(OctDom1)=1,OctDom1+4,OctDom1+11)</f>
        <v>43748</v>
      </c>
      <c r="G5" s="10">
        <f>IF(DAY(OctDom1)=1,OctDom1+5,OctDom1+12)</f>
        <v>43749</v>
      </c>
      <c r="H5" s="10">
        <f>IF(DAY(OctDom1)=1,OctDom1+6,OctDom1+13)</f>
        <v>43750</v>
      </c>
      <c r="I5" s="10">
        <f>IF(DAY(OctDom1)=1,OctDom1+7,OctDom1+14)</f>
        <v>43751</v>
      </c>
      <c r="J5" s="5"/>
      <c r="K5" s="66"/>
      <c r="L5" s="17"/>
      <c r="M5" s="33"/>
      <c r="N5" s="34"/>
    </row>
    <row r="6" spans="1:14" ht="18" customHeight="1" x14ac:dyDescent="0.2">
      <c r="A6" s="4"/>
      <c r="B6" s="36"/>
      <c r="C6" s="10">
        <f>IF(DAY(OctDom1)=1,OctDom1+8,OctDom1+15)</f>
        <v>43752</v>
      </c>
      <c r="D6" s="10">
        <f>IF(DAY(OctDom1)=1,OctDom1+9,OctDom1+16)</f>
        <v>43753</v>
      </c>
      <c r="E6" s="10">
        <f>IF(DAY(OctDom1)=1,OctDom1+10,OctDom1+17)</f>
        <v>43754</v>
      </c>
      <c r="F6" s="10">
        <f>IF(DAY(OctDom1)=1,OctDom1+11,OctDom1+18)</f>
        <v>43755</v>
      </c>
      <c r="G6" s="10">
        <f>IF(DAY(OctDom1)=1,OctDom1+12,OctDom1+19)</f>
        <v>43756</v>
      </c>
      <c r="H6" s="10">
        <f>IF(DAY(OctDom1)=1,OctDom1+13,OctDom1+20)</f>
        <v>43757</v>
      </c>
      <c r="I6" s="10">
        <f>IF(DAY(OctDom1)=1,OctDom1+14,OctDom1+21)</f>
        <v>43758</v>
      </c>
      <c r="J6" s="5"/>
      <c r="K6" s="66"/>
      <c r="L6" s="17"/>
      <c r="M6" s="33"/>
      <c r="N6" s="34"/>
    </row>
    <row r="7" spans="1:14" ht="18" customHeight="1" x14ac:dyDescent="0.2">
      <c r="A7" s="4"/>
      <c r="B7" s="36"/>
      <c r="C7" s="10">
        <f>IF(DAY(OctDom1)=1,OctDom1+15,OctDom1+22)</f>
        <v>43759</v>
      </c>
      <c r="D7" s="10">
        <f>IF(DAY(OctDom1)=1,OctDom1+16,OctDom1+23)</f>
        <v>43760</v>
      </c>
      <c r="E7" s="10">
        <f>IF(DAY(OctDom1)=1,OctDom1+17,OctDom1+24)</f>
        <v>43761</v>
      </c>
      <c r="F7" s="10">
        <f>IF(DAY(OctDom1)=1,OctDom1+18,OctDom1+25)</f>
        <v>43762</v>
      </c>
      <c r="G7" s="10">
        <f>IF(DAY(OctDom1)=1,OctDom1+19,OctDom1+26)</f>
        <v>43763</v>
      </c>
      <c r="H7" s="10">
        <f>IF(DAY(OctDom1)=1,OctDom1+20,OctDom1+27)</f>
        <v>43764</v>
      </c>
      <c r="I7" s="10">
        <f>IF(DAY(OctDom1)=1,OctDom1+21,OctDom1+28)</f>
        <v>43765</v>
      </c>
      <c r="J7" s="5"/>
      <c r="K7" s="11"/>
      <c r="L7" s="17"/>
      <c r="M7" s="33"/>
      <c r="N7" s="34"/>
    </row>
    <row r="8" spans="1:14" ht="18.75" customHeight="1" x14ac:dyDescent="0.2">
      <c r="A8" s="4"/>
      <c r="B8" s="36"/>
      <c r="C8" s="10">
        <f>IF(DAY(OctDom1)=1,OctDom1+22,OctDom1+29)</f>
        <v>43766</v>
      </c>
      <c r="D8" s="10">
        <f>IF(DAY(OctDom1)=1,OctDom1+23,OctDom1+30)</f>
        <v>43767</v>
      </c>
      <c r="E8" s="10">
        <f>IF(DAY(OctDom1)=1,OctDom1+24,OctDom1+31)</f>
        <v>43768</v>
      </c>
      <c r="F8" s="10">
        <f>IF(DAY(OctDom1)=1,OctDom1+25,OctDom1+32)</f>
        <v>43769</v>
      </c>
      <c r="G8" s="10">
        <f>IF(DAY(OctDom1)=1,OctDom1+26,OctDom1+33)</f>
        <v>43770</v>
      </c>
      <c r="H8" s="10">
        <f>IF(DAY(OctDom1)=1,OctDom1+27,OctDom1+34)</f>
        <v>43771</v>
      </c>
      <c r="I8" s="10">
        <f>IF(DAY(OctDom1)=1,OctDom1+28,OctDom1+35)</f>
        <v>43772</v>
      </c>
      <c r="J8" s="5"/>
      <c r="K8" s="11"/>
      <c r="L8" s="17"/>
      <c r="M8" s="33"/>
      <c r="N8" s="34"/>
    </row>
    <row r="9" spans="1:14" ht="18" customHeight="1" x14ac:dyDescent="0.2">
      <c r="A9" s="4"/>
      <c r="B9" s="36"/>
      <c r="C9" s="10">
        <f>IF(DAY(OctDom1)=1,OctDom1+29,OctDom1+36)</f>
        <v>43773</v>
      </c>
      <c r="D9" s="10">
        <f>IF(DAY(OctDom1)=1,OctDom1+30,OctDom1+37)</f>
        <v>43774</v>
      </c>
      <c r="E9" s="10">
        <f>IF(DAY(OctDom1)=1,OctDom1+31,OctDom1+38)</f>
        <v>43775</v>
      </c>
      <c r="F9" s="10">
        <f>IF(DAY(OctDom1)=1,OctDom1+32,OctDom1+39)</f>
        <v>43776</v>
      </c>
      <c r="G9" s="10">
        <f>IF(DAY(OctDom1)=1,OctDom1+33,OctDom1+40)</f>
        <v>43777</v>
      </c>
      <c r="H9" s="10">
        <f>IF(DAY(OctDom1)=1,OctDom1+34,OctDom1+41)</f>
        <v>43778</v>
      </c>
      <c r="I9" s="10">
        <f>IF(DAY(OctDom1)=1,OctDom1+35,OctDom1+42)</f>
        <v>43779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/>
      <c r="M11" s="33"/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/>
      <c r="M12" s="33"/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/>
      <c r="M13" s="33"/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/>
      <c r="M17" s="33"/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/>
      <c r="M20" s="33"/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/>
      <c r="M22" s="31"/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/>
      <c r="M23" s="33"/>
      <c r="N23" s="34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>
        <v>10</v>
      </c>
      <c r="M24" s="33" t="s">
        <v>64</v>
      </c>
      <c r="N24" s="34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>
        <v>17</v>
      </c>
      <c r="M25" s="33" t="s">
        <v>80</v>
      </c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>
        <v>31</v>
      </c>
      <c r="M27" s="29" t="s">
        <v>81</v>
      </c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/>
      <c r="M29" s="33"/>
      <c r="N29" s="34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/>
      <c r="M31" s="33"/>
      <c r="N31" s="34"/>
    </row>
    <row r="32" spans="2:14" ht="18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/>
      <c r="M33" s="71"/>
      <c r="N33" s="72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14" priority="4" stopIfTrue="1">
      <formula>DAY(C4)&gt;8</formula>
    </cfRule>
  </conditionalFormatting>
  <conditionalFormatting sqref="C8:I10">
    <cfRule type="expression" dxfId="13" priority="3" stopIfTrue="1">
      <formula>AND(DAY(C8)&gt;=1,DAY(C8)&lt;=15)</formula>
    </cfRule>
  </conditionalFormatting>
  <conditionalFormatting sqref="C4:I9">
    <cfRule type="expression" dxfId="12" priority="5">
      <formula>VLOOKUP(DAY(C4),DíasDeTareas,1,FALSE)=DAY(C4)</formula>
    </cfRule>
  </conditionalFormatting>
  <conditionalFormatting sqref="B14:J29 B33:J33">
    <cfRule type="expression" dxfId="11" priority="2">
      <formula>B14&lt;&gt;""</formula>
    </cfRule>
  </conditionalFormatting>
  <conditionalFormatting sqref="B30">
    <cfRule type="expression" dxfId="10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M36" sqref="M3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16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IF(DAY(NovDom1)=1,NovDom1-6,NovDom1+1)</f>
        <v>43766</v>
      </c>
      <c r="D4" s="10">
        <f>IF(DAY(NovDom1)=1,NovDom1-5,NovDom1+2)</f>
        <v>43767</v>
      </c>
      <c r="E4" s="10">
        <f>IF(DAY(NovDom1)=1,NovDom1-4,NovDom1+3)</f>
        <v>43768</v>
      </c>
      <c r="F4" s="10">
        <f>IF(DAY(NovDom1)=1,NovDom1-3,NovDom1+4)</f>
        <v>43769</v>
      </c>
      <c r="G4" s="10">
        <f>IF(DAY(NovDom1)=1,NovDom1-2,NovDom1+5)</f>
        <v>43770</v>
      </c>
      <c r="H4" s="10">
        <f>IF(DAY(NovDom1)=1,NovDom1-1,NovDom1+6)</f>
        <v>43771</v>
      </c>
      <c r="I4" s="10">
        <f>IF(DAY(NovDom1)=1,NovDom1,NovDom1+7)</f>
        <v>43772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IF(DAY(NovDom1)=1,NovDom1+1,NovDom1+8)</f>
        <v>43773</v>
      </c>
      <c r="D5" s="10">
        <f>IF(DAY(NovDom1)=1,NovDom1+2,NovDom1+9)</f>
        <v>43774</v>
      </c>
      <c r="E5" s="10">
        <f>IF(DAY(NovDom1)=1,NovDom1+3,NovDom1+10)</f>
        <v>43775</v>
      </c>
      <c r="F5" s="10">
        <f>IF(DAY(NovDom1)=1,NovDom1+4,NovDom1+11)</f>
        <v>43776</v>
      </c>
      <c r="G5" s="10">
        <f>IF(DAY(NovDom1)=1,NovDom1+5,NovDom1+12)</f>
        <v>43777</v>
      </c>
      <c r="H5" s="10">
        <f>IF(DAY(NovDom1)=1,NovDom1+6,NovDom1+13)</f>
        <v>43778</v>
      </c>
      <c r="I5" s="10">
        <f>IF(DAY(NovDom1)=1,NovDom1+7,NovDom1+14)</f>
        <v>43779</v>
      </c>
      <c r="J5" s="5"/>
      <c r="K5" s="66"/>
      <c r="L5" s="17"/>
      <c r="M5" s="33"/>
      <c r="N5" s="34"/>
    </row>
    <row r="6" spans="1:14" ht="18" customHeight="1" x14ac:dyDescent="0.2">
      <c r="A6" s="4"/>
      <c r="B6" s="36"/>
      <c r="C6" s="10">
        <f>IF(DAY(NovDom1)=1,NovDom1+8,NovDom1+15)</f>
        <v>43780</v>
      </c>
      <c r="D6" s="10">
        <f>IF(DAY(NovDom1)=1,NovDom1+9,NovDom1+16)</f>
        <v>43781</v>
      </c>
      <c r="E6" s="10">
        <f>IF(DAY(NovDom1)=1,NovDom1+10,NovDom1+17)</f>
        <v>43782</v>
      </c>
      <c r="F6" s="10">
        <f>IF(DAY(NovDom1)=1,NovDom1+11,NovDom1+18)</f>
        <v>43783</v>
      </c>
      <c r="G6" s="10">
        <f>IF(DAY(NovDom1)=1,NovDom1+12,NovDom1+19)</f>
        <v>43784</v>
      </c>
      <c r="H6" s="10">
        <f>IF(DAY(NovDom1)=1,NovDom1+13,NovDom1+20)</f>
        <v>43785</v>
      </c>
      <c r="I6" s="10">
        <f>IF(DAY(NovDom1)=1,NovDom1+14,NovDom1+21)</f>
        <v>43786</v>
      </c>
      <c r="J6" s="5"/>
      <c r="K6" s="66"/>
      <c r="L6" s="17"/>
      <c r="M6" s="33"/>
      <c r="N6" s="34"/>
    </row>
    <row r="7" spans="1:14" ht="18" customHeight="1" x14ac:dyDescent="0.2">
      <c r="A7" s="4"/>
      <c r="B7" s="36"/>
      <c r="C7" s="10">
        <f>IF(DAY(NovDom1)=1,NovDom1+15,NovDom1+22)</f>
        <v>43787</v>
      </c>
      <c r="D7" s="10">
        <f>IF(DAY(NovDom1)=1,NovDom1+16,NovDom1+23)</f>
        <v>43788</v>
      </c>
      <c r="E7" s="10">
        <f>IF(DAY(NovDom1)=1,NovDom1+17,NovDom1+24)</f>
        <v>43789</v>
      </c>
      <c r="F7" s="10">
        <f>IF(DAY(NovDom1)=1,NovDom1+18,NovDom1+25)</f>
        <v>43790</v>
      </c>
      <c r="G7" s="10">
        <f>IF(DAY(NovDom1)=1,NovDom1+19,NovDom1+26)</f>
        <v>43791</v>
      </c>
      <c r="H7" s="10">
        <f>IF(DAY(NovDom1)=1,NovDom1+20,NovDom1+27)</f>
        <v>43792</v>
      </c>
      <c r="I7" s="10">
        <f>IF(DAY(NovDom1)=1,NovDom1+21,NovDom1+28)</f>
        <v>43793</v>
      </c>
      <c r="J7" s="5"/>
      <c r="K7" s="11"/>
      <c r="L7" s="17"/>
      <c r="M7" s="33"/>
      <c r="N7" s="34"/>
    </row>
    <row r="8" spans="1:14" ht="18.75" customHeight="1" x14ac:dyDescent="0.2">
      <c r="A8" s="4"/>
      <c r="B8" s="36"/>
      <c r="C8" s="10">
        <f>IF(DAY(NovDom1)=1,NovDom1+22,NovDom1+29)</f>
        <v>43794</v>
      </c>
      <c r="D8" s="10">
        <f>IF(DAY(NovDom1)=1,NovDom1+23,NovDom1+30)</f>
        <v>43795</v>
      </c>
      <c r="E8" s="10">
        <f>IF(DAY(NovDom1)=1,NovDom1+24,NovDom1+31)</f>
        <v>43796</v>
      </c>
      <c r="F8" s="10">
        <f>IF(DAY(NovDom1)=1,NovDom1+25,NovDom1+32)</f>
        <v>43797</v>
      </c>
      <c r="G8" s="10">
        <f>IF(DAY(NovDom1)=1,NovDom1+26,NovDom1+33)</f>
        <v>43798</v>
      </c>
      <c r="H8" s="10">
        <f>IF(DAY(NovDom1)=1,NovDom1+27,NovDom1+34)</f>
        <v>43799</v>
      </c>
      <c r="I8" s="10">
        <f>IF(DAY(NovDom1)=1,NovDom1+28,NovDom1+35)</f>
        <v>43800</v>
      </c>
      <c r="J8" s="5"/>
      <c r="K8" s="11"/>
      <c r="L8" s="17"/>
      <c r="M8" s="33"/>
      <c r="N8" s="34"/>
    </row>
    <row r="9" spans="1:14" ht="18" customHeight="1" x14ac:dyDescent="0.2">
      <c r="A9" s="4"/>
      <c r="B9" s="36"/>
      <c r="C9" s="10">
        <f>IF(DAY(NovDom1)=1,NovDom1+29,NovDom1+36)</f>
        <v>43801</v>
      </c>
      <c r="D9" s="10">
        <f>IF(DAY(NovDom1)=1,NovDom1+30,NovDom1+37)</f>
        <v>43802</v>
      </c>
      <c r="E9" s="10">
        <f>IF(DAY(NovDom1)=1,NovDom1+31,NovDom1+38)</f>
        <v>43803</v>
      </c>
      <c r="F9" s="10">
        <f>IF(DAY(NovDom1)=1,NovDom1+32,NovDom1+39)</f>
        <v>43804</v>
      </c>
      <c r="G9" s="10">
        <f>IF(DAY(NovDom1)=1,NovDom1+33,NovDom1+40)</f>
        <v>43805</v>
      </c>
      <c r="H9" s="10">
        <f>IF(DAY(NovDom1)=1,NovDom1+34,NovDom1+41)</f>
        <v>43806</v>
      </c>
      <c r="I9" s="10">
        <f>IF(DAY(NovDom1)=1,NovDom1+35,NovDom1+42)</f>
        <v>43807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/>
      <c r="M11" s="33"/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/>
      <c r="M12" s="33"/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/>
      <c r="M13" s="33"/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/>
      <c r="M17" s="33"/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>
        <v>20</v>
      </c>
      <c r="M18" s="33" t="s">
        <v>82</v>
      </c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/>
      <c r="M20" s="33"/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/>
      <c r="M22" s="31"/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/>
      <c r="M23" s="33"/>
      <c r="N23" s="34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/>
      <c r="M24" s="33"/>
      <c r="N24" s="34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/>
      <c r="M25" s="33"/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>
        <v>8</v>
      </c>
      <c r="M29" s="33" t="s">
        <v>64</v>
      </c>
      <c r="N29" s="34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>
        <v>29</v>
      </c>
      <c r="M31" s="33" t="s">
        <v>83</v>
      </c>
      <c r="N31" s="34"/>
    </row>
    <row r="32" spans="2:14" ht="18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/>
      <c r="M33" s="71"/>
      <c r="N33" s="72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9" priority="4" stopIfTrue="1">
      <formula>DAY(C4)&gt;8</formula>
    </cfRule>
  </conditionalFormatting>
  <conditionalFormatting sqref="C8:I10">
    <cfRule type="expression" dxfId="8" priority="3" stopIfTrue="1">
      <formula>AND(DAY(C8)&gt;=1,DAY(C8)&lt;=15)</formula>
    </cfRule>
  </conditionalFormatting>
  <conditionalFormatting sqref="C4:I9">
    <cfRule type="expression" dxfId="7" priority="5">
      <formula>VLOOKUP(DAY(C4),DíasDeTareas,1,FALSE)=DAY(C4)</formula>
    </cfRule>
  </conditionalFormatting>
  <conditionalFormatting sqref="B14:J29 B33:J33">
    <cfRule type="expression" dxfId="6" priority="2">
      <formula>B14&lt;&gt;""</formula>
    </cfRule>
  </conditionalFormatting>
  <conditionalFormatting sqref="B30">
    <cfRule type="expression" dxfId="5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abSelected="1" zoomScaleNormal="100" zoomScalePageLayoutView="84" workbookViewId="0">
      <selection activeCell="I37" sqref="I37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9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IF(DAY(DicDom1)=1,DicDom1-6,DicDom1+1)</f>
        <v>43794</v>
      </c>
      <c r="D4" s="10">
        <f>IF(DAY(DicDom1)=1,DicDom1-5,DicDom1+2)</f>
        <v>43795</v>
      </c>
      <c r="E4" s="10">
        <f>IF(DAY(DicDom1)=1,DicDom1-4,DicDom1+3)</f>
        <v>43796</v>
      </c>
      <c r="F4" s="10">
        <f>IF(DAY(DicDom1)=1,DicDom1-3,DicDom1+4)</f>
        <v>43797</v>
      </c>
      <c r="G4" s="10">
        <f>IF(DAY(DicDom1)=1,DicDom1-2,DicDom1+5)</f>
        <v>43798</v>
      </c>
      <c r="H4" s="10">
        <f>IF(DAY(DicDom1)=1,DicDom1-1,DicDom1+6)</f>
        <v>43799</v>
      </c>
      <c r="I4" s="10">
        <f>IF(DAY(DicDom1)=1,DicDom1,DicDom1+7)</f>
        <v>43800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IF(DAY(DicDom1)=1,DicDom1+1,DicDom1+8)</f>
        <v>43801</v>
      </c>
      <c r="D5" s="10">
        <f>IF(DAY(DicDom1)=1,DicDom1+2,DicDom1+9)</f>
        <v>43802</v>
      </c>
      <c r="E5" s="10">
        <f>IF(DAY(DicDom1)=1,DicDom1+3,DicDom1+10)</f>
        <v>43803</v>
      </c>
      <c r="F5" s="10">
        <f>IF(DAY(DicDom1)=1,DicDom1+4,DicDom1+11)</f>
        <v>43804</v>
      </c>
      <c r="G5" s="10">
        <f>IF(DAY(DicDom1)=1,DicDom1+5,DicDom1+12)</f>
        <v>43805</v>
      </c>
      <c r="H5" s="10">
        <f>IF(DAY(DicDom1)=1,DicDom1+6,DicDom1+13)</f>
        <v>43806</v>
      </c>
      <c r="I5" s="10">
        <f>IF(DAY(DicDom1)=1,DicDom1+7,DicDom1+14)</f>
        <v>43807</v>
      </c>
      <c r="J5" s="5"/>
      <c r="K5" s="66"/>
      <c r="L5" s="17"/>
      <c r="M5" s="33"/>
      <c r="N5" s="34"/>
    </row>
    <row r="6" spans="1:14" ht="18" customHeight="1" x14ac:dyDescent="0.2">
      <c r="A6" s="4"/>
      <c r="B6" s="36"/>
      <c r="C6" s="10">
        <f>IF(DAY(DicDom1)=1,DicDom1+8,DicDom1+15)</f>
        <v>43808</v>
      </c>
      <c r="D6" s="10">
        <f>IF(DAY(DicDom1)=1,DicDom1+9,DicDom1+16)</f>
        <v>43809</v>
      </c>
      <c r="E6" s="10">
        <f>IF(DAY(DicDom1)=1,DicDom1+10,DicDom1+17)</f>
        <v>43810</v>
      </c>
      <c r="F6" s="10">
        <f>IF(DAY(DicDom1)=1,DicDom1+11,DicDom1+18)</f>
        <v>43811</v>
      </c>
      <c r="G6" s="10">
        <f>IF(DAY(DicDom1)=1,DicDom1+12,DicDom1+19)</f>
        <v>43812</v>
      </c>
      <c r="H6" s="10">
        <f>IF(DAY(DicDom1)=1,DicDom1+13,DicDom1+20)</f>
        <v>43813</v>
      </c>
      <c r="I6" s="10">
        <f>IF(DAY(DicDom1)=1,DicDom1+14,DicDom1+21)</f>
        <v>43814</v>
      </c>
      <c r="J6" s="5"/>
      <c r="K6" s="66"/>
      <c r="L6" s="17"/>
      <c r="M6" s="33"/>
      <c r="N6" s="34"/>
    </row>
    <row r="7" spans="1:14" ht="18" customHeight="1" x14ac:dyDescent="0.2">
      <c r="A7" s="4"/>
      <c r="B7" s="36"/>
      <c r="C7" s="10">
        <f>IF(DAY(DicDom1)=1,DicDom1+15,DicDom1+22)</f>
        <v>43815</v>
      </c>
      <c r="D7" s="10">
        <f>IF(DAY(DicDom1)=1,DicDom1+16,DicDom1+23)</f>
        <v>43816</v>
      </c>
      <c r="E7" s="10">
        <f>IF(DAY(DicDom1)=1,DicDom1+17,DicDom1+24)</f>
        <v>43817</v>
      </c>
      <c r="F7" s="10">
        <f>IF(DAY(DicDom1)=1,DicDom1+18,DicDom1+25)</f>
        <v>43818</v>
      </c>
      <c r="G7" s="10">
        <f>IF(DAY(DicDom1)=1,DicDom1+19,DicDom1+26)</f>
        <v>43819</v>
      </c>
      <c r="H7" s="10">
        <f>IF(DAY(DicDom1)=1,DicDom1+20,DicDom1+27)</f>
        <v>43820</v>
      </c>
      <c r="I7" s="10">
        <f>IF(DAY(DicDom1)=1,DicDom1+21,DicDom1+28)</f>
        <v>43821</v>
      </c>
      <c r="J7" s="5"/>
      <c r="K7" s="11"/>
      <c r="L7" s="17"/>
      <c r="M7" s="33"/>
      <c r="N7" s="34"/>
    </row>
    <row r="8" spans="1:14" ht="18.75" customHeight="1" x14ac:dyDescent="0.2">
      <c r="A8" s="4"/>
      <c r="B8" s="36"/>
      <c r="C8" s="10">
        <f>IF(DAY(DicDom1)=1,DicDom1+22,DicDom1+29)</f>
        <v>43822</v>
      </c>
      <c r="D8" s="10">
        <f>IF(DAY(DicDom1)=1,DicDom1+23,DicDom1+30)</f>
        <v>43823</v>
      </c>
      <c r="E8" s="10">
        <f>IF(DAY(DicDom1)=1,DicDom1+24,DicDom1+31)</f>
        <v>43824</v>
      </c>
      <c r="F8" s="10">
        <f>IF(DAY(DicDom1)=1,DicDom1+25,DicDom1+32)</f>
        <v>43825</v>
      </c>
      <c r="G8" s="10">
        <f>IF(DAY(DicDom1)=1,DicDom1+26,DicDom1+33)</f>
        <v>43826</v>
      </c>
      <c r="H8" s="10">
        <f>IF(DAY(DicDom1)=1,DicDom1+27,DicDom1+34)</f>
        <v>43827</v>
      </c>
      <c r="I8" s="10">
        <f>IF(DAY(DicDom1)=1,DicDom1+28,DicDom1+35)</f>
        <v>43828</v>
      </c>
      <c r="J8" s="5"/>
      <c r="K8" s="11"/>
      <c r="L8" s="17"/>
      <c r="M8" s="33"/>
      <c r="N8" s="34"/>
    </row>
    <row r="9" spans="1:14" ht="18" customHeight="1" x14ac:dyDescent="0.2">
      <c r="A9" s="4"/>
      <c r="B9" s="36"/>
      <c r="C9" s="10">
        <f>IF(DAY(DicDom1)=1,DicDom1+29,DicDom1+36)</f>
        <v>43829</v>
      </c>
      <c r="D9" s="10">
        <f>IF(DAY(DicDom1)=1,DicDom1+30,DicDom1+37)</f>
        <v>43830</v>
      </c>
      <c r="E9" s="10">
        <f>IF(DAY(DicDom1)=1,DicDom1+31,DicDom1+38)</f>
        <v>43831</v>
      </c>
      <c r="F9" s="10">
        <f>IF(DAY(DicDom1)=1,DicDom1+32,DicDom1+39)</f>
        <v>43832</v>
      </c>
      <c r="G9" s="10">
        <f>IF(DAY(DicDom1)=1,DicDom1+33,DicDom1+40)</f>
        <v>43833</v>
      </c>
      <c r="H9" s="10">
        <f>IF(DAY(DicDom1)=1,DicDom1+34,DicDom1+41)</f>
        <v>43834</v>
      </c>
      <c r="I9" s="10">
        <f>IF(DAY(DicDom1)=1,DicDom1+35,DicDom1+42)</f>
        <v>43835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/>
      <c r="M11" s="33"/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/>
      <c r="M12" s="33"/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/>
      <c r="M13" s="33"/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/>
      <c r="M17" s="33"/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/>
      <c r="M20" s="33"/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/>
      <c r="M22" s="31"/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/>
      <c r="M23" s="33"/>
      <c r="N23" s="34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/>
      <c r="M24" s="33"/>
      <c r="N24" s="34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/>
      <c r="M25" s="33"/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/>
      <c r="M29" s="33"/>
      <c r="N29" s="34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>
        <v>27</v>
      </c>
      <c r="M31" s="33" t="s">
        <v>64</v>
      </c>
      <c r="N31" s="34"/>
    </row>
    <row r="32" spans="2:14" ht="18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/>
      <c r="M33" s="71"/>
      <c r="N33" s="72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4" priority="4" stopIfTrue="1">
      <formula>DAY(C4)&gt;8</formula>
    </cfRule>
  </conditionalFormatting>
  <conditionalFormatting sqref="C8:I10">
    <cfRule type="expression" dxfId="3" priority="3" stopIfTrue="1">
      <formula>AND(DAY(C8)&gt;=1,DAY(C8)&lt;=15)</formula>
    </cfRule>
  </conditionalFormatting>
  <conditionalFormatting sqref="C4:I9">
    <cfRule type="expression" dxfId="2" priority="5">
      <formula>VLOOKUP(DAY(C4),DíasDeTareas,1,FALSE)=DAY(C4)</formula>
    </cfRule>
  </conditionalFormatting>
  <conditionalFormatting sqref="B14:J29 B33:J33">
    <cfRule type="expression" dxfId="1" priority="2">
      <formula>B14&lt;&gt;""</formula>
    </cfRule>
  </conditionalFormatting>
  <conditionalFormatting sqref="B30">
    <cfRule type="expression" dxfId="0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11" sqref="M11:N1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25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IF(DAY(FebDom1)=1,FebDom1-6,FebDom1+1)</f>
        <v>43493</v>
      </c>
      <c r="D4" s="10">
        <f>IF(DAY(FebDom1)=1,FebDom1-5,FebDom1+2)</f>
        <v>43494</v>
      </c>
      <c r="E4" s="10">
        <f>IF(DAY(FebDom1)=1,FebDom1-4,FebDom1+3)</f>
        <v>43495</v>
      </c>
      <c r="F4" s="10">
        <f>IF(DAY(FebDom1)=1,FebDom1-3,FebDom1+4)</f>
        <v>43496</v>
      </c>
      <c r="G4" s="10">
        <f>IF(DAY(FebDom1)=1,FebDom1-2,FebDom1+5)</f>
        <v>43497</v>
      </c>
      <c r="H4" s="10">
        <f>IF(DAY(FebDom1)=1,FebDom1-1,FebDom1+6)</f>
        <v>43498</v>
      </c>
      <c r="I4" s="10">
        <f>IF(DAY(FebDom1)=1,FebDom1,FebDom1+7)</f>
        <v>43499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IF(DAY(FebDom1)=1,FebDom1+1,FebDom1+8)</f>
        <v>43500</v>
      </c>
      <c r="D5" s="10">
        <f>IF(DAY(FebDom1)=1,FebDom1+2,FebDom1+9)</f>
        <v>43501</v>
      </c>
      <c r="E5" s="10">
        <f>IF(DAY(FebDom1)=1,FebDom1+3,FebDom1+10)</f>
        <v>43502</v>
      </c>
      <c r="F5" s="10">
        <f>IF(DAY(FebDom1)=1,FebDom1+4,FebDom1+11)</f>
        <v>43503</v>
      </c>
      <c r="G5" s="10">
        <f>IF(DAY(FebDom1)=1,FebDom1+5,FebDom1+12)</f>
        <v>43504</v>
      </c>
      <c r="H5" s="10">
        <f>IF(DAY(FebDom1)=1,FebDom1+6,FebDom1+13)</f>
        <v>43505</v>
      </c>
      <c r="I5" s="10">
        <f>IF(DAY(FebDom1)=1,FebDom1+7,FebDom1+14)</f>
        <v>43506</v>
      </c>
      <c r="J5" s="5"/>
      <c r="K5" s="66"/>
      <c r="L5" s="17">
        <v>11</v>
      </c>
      <c r="M5" s="1" t="s">
        <v>35</v>
      </c>
    </row>
    <row r="6" spans="1:14" ht="18" customHeight="1" x14ac:dyDescent="0.2">
      <c r="A6" s="4"/>
      <c r="B6" s="36"/>
      <c r="C6" s="10">
        <f>IF(DAY(FebDom1)=1,FebDom1+8,FebDom1+15)</f>
        <v>43507</v>
      </c>
      <c r="D6" s="10">
        <f>IF(DAY(FebDom1)=1,FebDom1+9,FebDom1+16)</f>
        <v>43508</v>
      </c>
      <c r="E6" s="10">
        <f>IF(DAY(FebDom1)=1,FebDom1+10,FebDom1+17)</f>
        <v>43509</v>
      </c>
      <c r="F6" s="10">
        <f>IF(DAY(FebDom1)=1,FebDom1+11,FebDom1+18)</f>
        <v>43510</v>
      </c>
      <c r="G6" s="10">
        <f>IF(DAY(FebDom1)=1,FebDom1+12,FebDom1+19)</f>
        <v>43511</v>
      </c>
      <c r="H6" s="10">
        <f>IF(DAY(FebDom1)=1,FebDom1+13,FebDom1+20)</f>
        <v>43512</v>
      </c>
      <c r="I6" s="10">
        <f>IF(DAY(FebDom1)=1,FebDom1+14,FebDom1+21)</f>
        <v>43513</v>
      </c>
      <c r="J6" s="5"/>
      <c r="K6" s="66"/>
      <c r="L6" s="17">
        <v>18</v>
      </c>
      <c r="M6" s="33" t="s">
        <v>35</v>
      </c>
      <c r="N6" s="34"/>
    </row>
    <row r="7" spans="1:14" ht="18" customHeight="1" x14ac:dyDescent="0.2">
      <c r="A7" s="4"/>
      <c r="B7" s="36"/>
      <c r="C7" s="10">
        <f>IF(DAY(FebDom1)=1,FebDom1+15,FebDom1+22)</f>
        <v>43514</v>
      </c>
      <c r="D7" s="10">
        <f>IF(DAY(FebDom1)=1,FebDom1+16,FebDom1+23)</f>
        <v>43515</v>
      </c>
      <c r="E7" s="10">
        <f>IF(DAY(FebDom1)=1,FebDom1+17,FebDom1+24)</f>
        <v>43516</v>
      </c>
      <c r="F7" s="10">
        <f>IF(DAY(FebDom1)=1,FebDom1+18,FebDom1+25)</f>
        <v>43517</v>
      </c>
      <c r="G7" s="10">
        <f>IF(DAY(FebDom1)=1,FebDom1+19,FebDom1+26)</f>
        <v>43518</v>
      </c>
      <c r="H7" s="10">
        <f>IF(DAY(FebDom1)=1,FebDom1+20,FebDom1+27)</f>
        <v>43519</v>
      </c>
      <c r="I7" s="10">
        <f>IF(DAY(FebDom1)=1,FebDom1+21,FebDom1+28)</f>
        <v>43520</v>
      </c>
      <c r="J7" s="5"/>
      <c r="K7" s="11"/>
      <c r="L7" s="17">
        <v>25</v>
      </c>
      <c r="M7" s="33" t="s">
        <v>40</v>
      </c>
      <c r="N7" s="34"/>
    </row>
    <row r="8" spans="1:14" ht="18.75" customHeight="1" x14ac:dyDescent="0.2">
      <c r="A8" s="4"/>
      <c r="B8" s="36"/>
      <c r="C8" s="10">
        <f>IF(DAY(FebDom1)=1,FebDom1+22,FebDom1+29)</f>
        <v>43521</v>
      </c>
      <c r="D8" s="10">
        <f>IF(DAY(FebDom1)=1,FebDom1+23,FebDom1+30)</f>
        <v>43522</v>
      </c>
      <c r="E8" s="10">
        <f>IF(DAY(FebDom1)=1,FebDom1+24,FebDom1+31)</f>
        <v>43523</v>
      </c>
      <c r="F8" s="10">
        <f>IF(DAY(FebDom1)=1,FebDom1+25,FebDom1+32)</f>
        <v>43524</v>
      </c>
      <c r="G8" s="10">
        <f>IF(DAY(FebDom1)=1,FebDom1+26,FebDom1+33)</f>
        <v>43525</v>
      </c>
      <c r="H8" s="10">
        <f>IF(DAY(FebDom1)=1,FebDom1+27,FebDom1+34)</f>
        <v>43526</v>
      </c>
      <c r="I8" s="10">
        <f>IF(DAY(FebDom1)=1,FebDom1+28,FebDom1+35)</f>
        <v>43527</v>
      </c>
      <c r="J8" s="5"/>
      <c r="K8" s="11"/>
      <c r="L8" s="17"/>
      <c r="M8" s="33"/>
      <c r="N8" s="34"/>
    </row>
    <row r="9" spans="1:14" ht="18" customHeight="1" x14ac:dyDescent="0.2">
      <c r="A9" s="4"/>
      <c r="B9" s="36"/>
      <c r="C9" s="10">
        <f>IF(DAY(FebDom1)=1,FebDom1+29,FebDom1+36)</f>
        <v>43528</v>
      </c>
      <c r="D9" s="10">
        <f>IF(DAY(FebDom1)=1,FebDom1+30,FebDom1+37)</f>
        <v>43529</v>
      </c>
      <c r="E9" s="10">
        <f>IF(DAY(FebDom1)=1,FebDom1+31,FebDom1+38)</f>
        <v>43530</v>
      </c>
      <c r="F9" s="10">
        <f>IF(DAY(FebDom1)=1,FebDom1+32,FebDom1+39)</f>
        <v>43531</v>
      </c>
      <c r="G9" s="10">
        <f>IF(DAY(FebDom1)=1,FebDom1+33,FebDom1+40)</f>
        <v>43532</v>
      </c>
      <c r="H9" s="10">
        <f>IF(DAY(FebDom1)=1,FebDom1+34,FebDom1+41)</f>
        <v>43533</v>
      </c>
      <c r="I9" s="10">
        <f>IF(DAY(FebDom1)=1,FebDom1+35,FebDom1+42)</f>
        <v>43534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>
        <v>5</v>
      </c>
      <c r="M11" s="33" t="s">
        <v>32</v>
      </c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/>
      <c r="M12" s="33"/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/>
      <c r="M13" s="33"/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/>
      <c r="M17" s="33"/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/>
      <c r="M20" s="33"/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/>
      <c r="M22" s="31"/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/>
      <c r="M23" s="33"/>
      <c r="N23" s="34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>
        <v>14</v>
      </c>
      <c r="M24" s="33" t="s">
        <v>34</v>
      </c>
      <c r="N24" s="34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>
        <v>21</v>
      </c>
      <c r="M25" s="33" t="s">
        <v>38</v>
      </c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/>
      <c r="M29" s="33"/>
      <c r="N29" s="34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>
        <v>8</v>
      </c>
      <c r="M30" s="33" t="s">
        <v>33</v>
      </c>
      <c r="N30" s="34"/>
    </row>
    <row r="31" spans="2:14" ht="31.5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>
        <v>15</v>
      </c>
      <c r="M31" s="84" t="s">
        <v>37</v>
      </c>
      <c r="N31" s="85"/>
    </row>
    <row r="32" spans="2:14" ht="28.5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>
        <v>22</v>
      </c>
      <c r="M32" s="84" t="s">
        <v>36</v>
      </c>
      <c r="N32" s="85"/>
    </row>
    <row r="33" spans="2:14" ht="18" customHeight="1" x14ac:dyDescent="0.2">
      <c r="B33" s="86" t="s">
        <v>39</v>
      </c>
      <c r="C33" s="87"/>
      <c r="D33" s="87"/>
      <c r="E33" s="87"/>
      <c r="F33" s="87"/>
      <c r="G33" s="87"/>
      <c r="H33" s="87"/>
      <c r="I33" s="87"/>
      <c r="J33" s="88"/>
      <c r="K33" s="15"/>
      <c r="L33" s="20"/>
      <c r="M33" s="71"/>
      <c r="N33" s="72"/>
    </row>
  </sheetData>
  <mergeCells count="107">
    <mergeCell ref="M10:N10"/>
    <mergeCell ref="B11:J12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11:N11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33:N33"/>
    <mergeCell ref="M31:N31"/>
    <mergeCell ref="M32:N32"/>
    <mergeCell ref="B30:J32"/>
    <mergeCell ref="M29:N29"/>
    <mergeCell ref="M30:N30"/>
    <mergeCell ref="B33:J33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</mergeCells>
  <conditionalFormatting sqref="C4:H4">
    <cfRule type="expression" dxfId="54" priority="4" stopIfTrue="1">
      <formula>DAY(C4)&gt;8</formula>
    </cfRule>
  </conditionalFormatting>
  <conditionalFormatting sqref="C8:I10">
    <cfRule type="expression" dxfId="53" priority="3" stopIfTrue="1">
      <formula>AND(DAY(C8)&gt;=1,DAY(C8)&lt;=15)</formula>
    </cfRule>
  </conditionalFormatting>
  <conditionalFormatting sqref="C4:I9">
    <cfRule type="expression" dxfId="52" priority="5">
      <formula>VLOOKUP(DAY(C4),DíasDeTareas,1,FALSE)=DAY(C4)</formula>
    </cfRule>
  </conditionalFormatting>
  <conditionalFormatting sqref="B14:J29 B33">
    <cfRule type="expression" dxfId="51" priority="2">
      <formula>B14&lt;&gt;""</formula>
    </cfRule>
  </conditionalFormatting>
  <conditionalFormatting sqref="B30">
    <cfRule type="expression" dxfId="50" priority="1">
      <formula>B30&lt;&gt;""</formula>
    </cfRule>
  </conditionalFormatting>
  <printOptions horizontalCentered="1"/>
  <pageMargins left="0.5" right="0.5" top="0.5" bottom="0.5" header="0.3" footer="0.3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9" zoomScaleNormal="100" zoomScalePageLayoutView="84" workbookViewId="0">
      <selection activeCell="M37" sqref="M37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24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IF(DAY(MarDom1)=1,MarDom1-6,MarDom1+1)</f>
        <v>43521</v>
      </c>
      <c r="D4" s="10">
        <f>IF(DAY(MarDom1)=1,MarDom1-5,MarDom1+2)</f>
        <v>43522</v>
      </c>
      <c r="E4" s="10">
        <f>IF(DAY(MarDom1)=1,MarDom1-4,MarDom1+3)</f>
        <v>43523</v>
      </c>
      <c r="F4" s="10">
        <f>IF(DAY(MarDom1)=1,MarDom1-3,MarDom1+4)</f>
        <v>43524</v>
      </c>
      <c r="G4" s="10">
        <f>IF(DAY(MarDom1)=1,MarDom1-2,MarDom1+5)</f>
        <v>43525</v>
      </c>
      <c r="H4" s="10">
        <f>IF(DAY(MarDom1)=1,MarDom1-1,MarDom1+6)</f>
        <v>43526</v>
      </c>
      <c r="I4" s="10">
        <f>IF(DAY(MarDom1)=1,MarDom1,MarDom1+7)</f>
        <v>43527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IF(DAY(MarDom1)=1,MarDom1+1,MarDom1+8)</f>
        <v>43528</v>
      </c>
      <c r="D5" s="10">
        <f>IF(DAY(MarDom1)=1,MarDom1+2,MarDom1+9)</f>
        <v>43529</v>
      </c>
      <c r="E5" s="10">
        <f>IF(DAY(MarDom1)=1,MarDom1+3,MarDom1+10)</f>
        <v>43530</v>
      </c>
      <c r="F5" s="10">
        <f>IF(DAY(MarDom1)=1,MarDom1+4,MarDom1+11)</f>
        <v>43531</v>
      </c>
      <c r="G5" s="10">
        <f>IF(DAY(MarDom1)=1,MarDom1+5,MarDom1+12)</f>
        <v>43532</v>
      </c>
      <c r="H5" s="10">
        <f>IF(DAY(MarDom1)=1,MarDom1+6,MarDom1+13)</f>
        <v>43533</v>
      </c>
      <c r="I5" s="10">
        <f>IF(DAY(MarDom1)=1,MarDom1+7,MarDom1+14)</f>
        <v>43534</v>
      </c>
      <c r="J5" s="5"/>
      <c r="K5" s="66"/>
      <c r="L5" s="17"/>
      <c r="M5" s="33"/>
      <c r="N5" s="34"/>
    </row>
    <row r="6" spans="1:14" ht="18" customHeight="1" x14ac:dyDescent="0.2">
      <c r="A6" s="4"/>
      <c r="B6" s="36"/>
      <c r="C6" s="10">
        <f>IF(DAY(MarDom1)=1,MarDom1+8,MarDom1+15)</f>
        <v>43535</v>
      </c>
      <c r="D6" s="10">
        <f>IF(DAY(MarDom1)=1,MarDom1+9,MarDom1+16)</f>
        <v>43536</v>
      </c>
      <c r="E6" s="10">
        <f>IF(DAY(MarDom1)=1,MarDom1+10,MarDom1+17)</f>
        <v>43537</v>
      </c>
      <c r="F6" s="10">
        <f>IF(DAY(MarDom1)=1,MarDom1+11,MarDom1+18)</f>
        <v>43538</v>
      </c>
      <c r="G6" s="10">
        <f>IF(DAY(MarDom1)=1,MarDom1+12,MarDom1+19)</f>
        <v>43539</v>
      </c>
      <c r="H6" s="10">
        <f>IF(DAY(MarDom1)=1,MarDom1+13,MarDom1+20)</f>
        <v>43540</v>
      </c>
      <c r="I6" s="10">
        <f>IF(DAY(MarDom1)=1,MarDom1+14,MarDom1+21)</f>
        <v>43541</v>
      </c>
      <c r="J6" s="5"/>
      <c r="K6" s="66"/>
      <c r="L6" s="17"/>
      <c r="M6" s="33"/>
      <c r="N6" s="34"/>
    </row>
    <row r="7" spans="1:14" ht="18" customHeight="1" x14ac:dyDescent="0.2">
      <c r="A7" s="4"/>
      <c r="B7" s="36"/>
      <c r="C7" s="10">
        <f>IF(DAY(MarDom1)=1,MarDom1+15,MarDom1+22)</f>
        <v>43542</v>
      </c>
      <c r="D7" s="10">
        <f>IF(DAY(MarDom1)=1,MarDom1+16,MarDom1+23)</f>
        <v>43543</v>
      </c>
      <c r="E7" s="10">
        <f>IF(DAY(MarDom1)=1,MarDom1+17,MarDom1+24)</f>
        <v>43544</v>
      </c>
      <c r="F7" s="10">
        <f>IF(DAY(MarDom1)=1,MarDom1+18,MarDom1+25)</f>
        <v>43545</v>
      </c>
      <c r="G7" s="10">
        <f>IF(DAY(MarDom1)=1,MarDom1+19,MarDom1+26)</f>
        <v>43546</v>
      </c>
      <c r="H7" s="10">
        <f>IF(DAY(MarDom1)=1,MarDom1+20,MarDom1+27)</f>
        <v>43547</v>
      </c>
      <c r="I7" s="10">
        <f>IF(DAY(MarDom1)=1,MarDom1+21,MarDom1+28)</f>
        <v>43548</v>
      </c>
      <c r="J7" s="5"/>
      <c r="K7" s="11"/>
      <c r="L7" s="17"/>
      <c r="M7" s="33"/>
      <c r="N7" s="34"/>
    </row>
    <row r="8" spans="1:14" ht="18.75" customHeight="1" x14ac:dyDescent="0.2">
      <c r="A8" s="4"/>
      <c r="B8" s="36"/>
      <c r="C8" s="10">
        <f>IF(DAY(MarDom1)=1,MarDom1+22,MarDom1+29)</f>
        <v>43549</v>
      </c>
      <c r="D8" s="10">
        <f>IF(DAY(MarDom1)=1,MarDom1+23,MarDom1+30)</f>
        <v>43550</v>
      </c>
      <c r="E8" s="10">
        <f>IF(DAY(MarDom1)=1,MarDom1+24,MarDom1+31)</f>
        <v>43551</v>
      </c>
      <c r="F8" s="10">
        <f>IF(DAY(MarDom1)=1,MarDom1+25,MarDom1+32)</f>
        <v>43552</v>
      </c>
      <c r="G8" s="10">
        <f>IF(DAY(MarDom1)=1,MarDom1+26,MarDom1+33)</f>
        <v>43553</v>
      </c>
      <c r="H8" s="10">
        <f>IF(DAY(MarDom1)=1,MarDom1+27,MarDom1+34)</f>
        <v>43554</v>
      </c>
      <c r="I8" s="10">
        <f>IF(DAY(MarDom1)=1,MarDom1+28,MarDom1+35)</f>
        <v>43555</v>
      </c>
      <c r="J8" s="5"/>
      <c r="K8" s="11"/>
      <c r="L8" s="17"/>
      <c r="M8" s="33"/>
      <c r="N8" s="34"/>
    </row>
    <row r="9" spans="1:14" ht="18" customHeight="1" x14ac:dyDescent="0.2">
      <c r="A9" s="4"/>
      <c r="B9" s="36"/>
      <c r="C9" s="10">
        <f>IF(DAY(MarDom1)=1,MarDom1+29,MarDom1+36)</f>
        <v>43556</v>
      </c>
      <c r="D9" s="10">
        <f>IF(DAY(MarDom1)=1,MarDom1+30,MarDom1+37)</f>
        <v>43557</v>
      </c>
      <c r="E9" s="10">
        <f>IF(DAY(MarDom1)=1,MarDom1+31,MarDom1+38)</f>
        <v>43558</v>
      </c>
      <c r="F9" s="10">
        <f>IF(DAY(MarDom1)=1,MarDom1+32,MarDom1+39)</f>
        <v>43559</v>
      </c>
      <c r="G9" s="10">
        <f>IF(DAY(MarDom1)=1,MarDom1+33,MarDom1+40)</f>
        <v>43560</v>
      </c>
      <c r="H9" s="10">
        <f>IF(DAY(MarDom1)=1,MarDom1+34,MarDom1+41)</f>
        <v>43561</v>
      </c>
      <c r="I9" s="10">
        <f>IF(DAY(MarDom1)=1,MarDom1+35,MarDom1+42)</f>
        <v>43562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/>
      <c r="M11" s="33"/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>
        <v>19</v>
      </c>
      <c r="M12" s="33" t="s">
        <v>43</v>
      </c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/>
      <c r="M13" s="33"/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>
        <v>6</v>
      </c>
      <c r="M17" s="33" t="s">
        <v>35</v>
      </c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>
        <v>27</v>
      </c>
      <c r="M20" s="33" t="s">
        <v>45</v>
      </c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>
        <v>7</v>
      </c>
      <c r="M22" s="33" t="s">
        <v>41</v>
      </c>
      <c r="N22" s="34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/>
      <c r="M23" s="33"/>
      <c r="N23" s="34"/>
    </row>
    <row r="24" spans="2:14" ht="30.75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>
        <v>21</v>
      </c>
      <c r="M24" s="89" t="s">
        <v>44</v>
      </c>
      <c r="N24" s="90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/>
      <c r="M25" s="33"/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>
        <v>8</v>
      </c>
      <c r="M28" s="31" t="s">
        <v>42</v>
      </c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/>
      <c r="M29" s="33"/>
      <c r="N29" s="34"/>
    </row>
    <row r="30" spans="2:14" ht="18" customHeight="1" x14ac:dyDescent="0.2">
      <c r="B30" s="56" t="s">
        <v>47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>
        <v>29</v>
      </c>
      <c r="M31" s="33" t="s">
        <v>46</v>
      </c>
      <c r="N31" s="34"/>
    </row>
    <row r="32" spans="2:14" ht="35.25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/>
      <c r="M33" s="71"/>
      <c r="N33" s="72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49" priority="4" stopIfTrue="1">
      <formula>DAY(C4)&gt;8</formula>
    </cfRule>
  </conditionalFormatting>
  <conditionalFormatting sqref="C8:I10">
    <cfRule type="expression" dxfId="48" priority="3" stopIfTrue="1">
      <formula>AND(DAY(C8)&gt;=1,DAY(C8)&lt;=15)</formula>
    </cfRule>
  </conditionalFormatting>
  <conditionalFormatting sqref="C4:I9">
    <cfRule type="expression" dxfId="47" priority="5">
      <formula>VLOOKUP(DAY(C4),DíasDeTareas,1,FALSE)=DAY(C4)</formula>
    </cfRule>
  </conditionalFormatting>
  <conditionalFormatting sqref="B14:J29 B33:J33">
    <cfRule type="expression" dxfId="46" priority="2">
      <formula>B14&lt;&gt;""</formula>
    </cfRule>
  </conditionalFormatting>
  <conditionalFormatting sqref="B30">
    <cfRule type="expression" dxfId="45" priority="1">
      <formula>B30&lt;&gt;""</formula>
    </cfRule>
  </conditionalFormatting>
  <printOptions horizontalCentered="1"/>
  <pageMargins left="0.5" right="0.5" top="0.5" bottom="0.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9" zoomScaleNormal="100" zoomScalePageLayoutView="84" workbookViewId="0">
      <selection activeCell="M11" sqref="M11:N1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23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IF(DAY(AbrDom1)=1,AbrDom1-6,AbrDom1+1)</f>
        <v>43556</v>
      </c>
      <c r="D4" s="10">
        <f>IF(DAY(AbrDom1)=1,AbrDom1-5,AbrDom1+2)</f>
        <v>43557</v>
      </c>
      <c r="E4" s="10">
        <f>IF(DAY(AbrDom1)=1,AbrDom1-4,AbrDom1+3)</f>
        <v>43558</v>
      </c>
      <c r="F4" s="10">
        <f>IF(DAY(AbrDom1)=1,AbrDom1-3,AbrDom1+4)</f>
        <v>43559</v>
      </c>
      <c r="G4" s="10">
        <f>IF(DAY(AbrDom1)=1,AbrDom1-2,AbrDom1+5)</f>
        <v>43560</v>
      </c>
      <c r="H4" s="10">
        <f>IF(DAY(AbrDom1)=1,AbrDom1-1,AbrDom1+6)</f>
        <v>43561</v>
      </c>
      <c r="I4" s="10">
        <f>IF(DAY(AbrDom1)=1,AbrDom1,AbrDom1+7)</f>
        <v>43562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IF(DAY(AbrDom1)=1,AbrDom1+1,AbrDom1+8)</f>
        <v>43563</v>
      </c>
      <c r="D5" s="10">
        <f>IF(DAY(AbrDom1)=1,AbrDom1+2,AbrDom1+9)</f>
        <v>43564</v>
      </c>
      <c r="E5" s="10">
        <f>IF(DAY(AbrDom1)=1,AbrDom1+3,AbrDom1+10)</f>
        <v>43565</v>
      </c>
      <c r="F5" s="10">
        <f>IF(DAY(AbrDom1)=1,AbrDom1+4,AbrDom1+11)</f>
        <v>43566</v>
      </c>
      <c r="G5" s="10">
        <f>IF(DAY(AbrDom1)=1,AbrDom1+5,AbrDom1+12)</f>
        <v>43567</v>
      </c>
      <c r="H5" s="10">
        <f>IF(DAY(AbrDom1)=1,AbrDom1+6,AbrDom1+13)</f>
        <v>43568</v>
      </c>
      <c r="I5" s="10">
        <f>IF(DAY(AbrDom1)=1,AbrDom1+7,AbrDom1+14)</f>
        <v>43569</v>
      </c>
      <c r="J5" s="5"/>
      <c r="K5" s="66"/>
      <c r="L5" s="17"/>
      <c r="M5" s="33"/>
      <c r="N5" s="34"/>
    </row>
    <row r="6" spans="1:14" ht="18" customHeight="1" x14ac:dyDescent="0.2">
      <c r="A6" s="4"/>
      <c r="B6" s="36"/>
      <c r="C6" s="10">
        <f>IF(DAY(AbrDom1)=1,AbrDom1+8,AbrDom1+15)</f>
        <v>43570</v>
      </c>
      <c r="D6" s="10">
        <f>IF(DAY(AbrDom1)=1,AbrDom1+9,AbrDom1+16)</f>
        <v>43571</v>
      </c>
      <c r="E6" s="10">
        <f>IF(DAY(AbrDom1)=1,AbrDom1+10,AbrDom1+17)</f>
        <v>43572</v>
      </c>
      <c r="F6" s="10">
        <f>IF(DAY(AbrDom1)=1,AbrDom1+11,AbrDom1+18)</f>
        <v>43573</v>
      </c>
      <c r="G6" s="10">
        <f>IF(DAY(AbrDom1)=1,AbrDom1+12,AbrDom1+19)</f>
        <v>43574</v>
      </c>
      <c r="H6" s="10">
        <f>IF(DAY(AbrDom1)=1,AbrDom1+13,AbrDom1+20)</f>
        <v>43575</v>
      </c>
      <c r="I6" s="10">
        <f>IF(DAY(AbrDom1)=1,AbrDom1+14,AbrDom1+21)</f>
        <v>43576</v>
      </c>
      <c r="J6" s="5"/>
      <c r="K6" s="66"/>
      <c r="L6" s="17"/>
      <c r="M6" s="33"/>
      <c r="N6" s="34"/>
    </row>
    <row r="7" spans="1:14" ht="18" customHeight="1" x14ac:dyDescent="0.2">
      <c r="A7" s="4"/>
      <c r="B7" s="36"/>
      <c r="C7" s="10">
        <f>IF(DAY(AbrDom1)=1,AbrDom1+15,AbrDom1+22)</f>
        <v>43577</v>
      </c>
      <c r="D7" s="10">
        <f>IF(DAY(AbrDom1)=1,AbrDom1+16,AbrDom1+23)</f>
        <v>43578</v>
      </c>
      <c r="E7" s="10">
        <f>IF(DAY(AbrDom1)=1,AbrDom1+17,AbrDom1+24)</f>
        <v>43579</v>
      </c>
      <c r="F7" s="10">
        <f>IF(DAY(AbrDom1)=1,AbrDom1+18,AbrDom1+25)</f>
        <v>43580</v>
      </c>
      <c r="G7" s="10">
        <f>IF(DAY(AbrDom1)=1,AbrDom1+19,AbrDom1+26)</f>
        <v>43581</v>
      </c>
      <c r="H7" s="10">
        <f>IF(DAY(AbrDom1)=1,AbrDom1+20,AbrDom1+27)</f>
        <v>43582</v>
      </c>
      <c r="I7" s="10">
        <f>IF(DAY(AbrDom1)=1,AbrDom1+21,AbrDom1+28)</f>
        <v>43583</v>
      </c>
      <c r="J7" s="5"/>
      <c r="K7" s="11"/>
      <c r="L7" s="17"/>
      <c r="M7" s="33"/>
      <c r="N7" s="34"/>
    </row>
    <row r="8" spans="1:14" ht="18.75" customHeight="1" x14ac:dyDescent="0.2">
      <c r="A8" s="4"/>
      <c r="B8" s="36"/>
      <c r="C8" s="10">
        <f>IF(DAY(AbrDom1)=1,AbrDom1+22,AbrDom1+29)</f>
        <v>43584</v>
      </c>
      <c r="D8" s="10">
        <f>IF(DAY(AbrDom1)=1,AbrDom1+23,AbrDom1+30)</f>
        <v>43585</v>
      </c>
      <c r="E8" s="10">
        <f>IF(DAY(AbrDom1)=1,AbrDom1+24,AbrDom1+31)</f>
        <v>43586</v>
      </c>
      <c r="F8" s="10">
        <f>IF(DAY(AbrDom1)=1,AbrDom1+25,AbrDom1+32)</f>
        <v>43587</v>
      </c>
      <c r="G8" s="10">
        <f>IF(DAY(AbrDom1)=1,AbrDom1+26,AbrDom1+33)</f>
        <v>43588</v>
      </c>
      <c r="H8" s="10">
        <f>IF(DAY(AbrDom1)=1,AbrDom1+27,AbrDom1+34)</f>
        <v>43589</v>
      </c>
      <c r="I8" s="10">
        <f>IF(DAY(AbrDom1)=1,AbrDom1+28,AbrDom1+35)</f>
        <v>43590</v>
      </c>
      <c r="J8" s="5"/>
      <c r="K8" s="11"/>
      <c r="L8" s="17"/>
      <c r="M8" s="33"/>
      <c r="N8" s="34"/>
    </row>
    <row r="9" spans="1:14" ht="18" customHeight="1" x14ac:dyDescent="0.2">
      <c r="A9" s="4"/>
      <c r="B9" s="36"/>
      <c r="C9" s="10">
        <f>IF(DAY(AbrDom1)=1,AbrDom1+29,AbrDom1+36)</f>
        <v>43591</v>
      </c>
      <c r="D9" s="10">
        <f>IF(DAY(AbrDom1)=1,AbrDom1+30,AbrDom1+37)</f>
        <v>43592</v>
      </c>
      <c r="E9" s="10">
        <f>IF(DAY(AbrDom1)=1,AbrDom1+31,AbrDom1+38)</f>
        <v>43593</v>
      </c>
      <c r="F9" s="10">
        <f>IF(DAY(AbrDom1)=1,AbrDom1+32,AbrDom1+39)</f>
        <v>43594</v>
      </c>
      <c r="G9" s="10">
        <f>IF(DAY(AbrDom1)=1,AbrDom1+33,AbrDom1+40)</f>
        <v>43595</v>
      </c>
      <c r="H9" s="10">
        <f>IF(DAY(AbrDom1)=1,AbrDom1+34,AbrDom1+41)</f>
        <v>43596</v>
      </c>
      <c r="I9" s="10">
        <f>IF(DAY(AbrDom1)=1,AbrDom1+35,AbrDom1+42)</f>
        <v>43597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/>
      <c r="M11" s="33"/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/>
      <c r="M12" s="33"/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/>
      <c r="M13" s="33"/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>
        <v>30</v>
      </c>
      <c r="M14" s="33" t="s">
        <v>49</v>
      </c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38.25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>
        <v>3</v>
      </c>
      <c r="M16" s="27" t="s">
        <v>48</v>
      </c>
      <c r="N16" s="28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/>
      <c r="M17" s="33"/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>
        <v>24</v>
      </c>
      <c r="M19" s="33" t="s">
        <v>51</v>
      </c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/>
      <c r="M20" s="33"/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>
        <v>4</v>
      </c>
      <c r="M22" s="31" t="s">
        <v>50</v>
      </c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/>
      <c r="M23" s="33"/>
      <c r="N23" s="34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/>
      <c r="M24" s="33"/>
      <c r="N24" s="34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/>
      <c r="M25" s="33"/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/>
      <c r="M29" s="33"/>
      <c r="N29" s="34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>
        <v>25</v>
      </c>
      <c r="M31" s="33" t="s">
        <v>52</v>
      </c>
      <c r="N31" s="34"/>
    </row>
    <row r="32" spans="2:14" ht="18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/>
      <c r="M33" s="71"/>
      <c r="N33" s="72"/>
    </row>
  </sheetData>
  <mergeCells count="110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44" priority="4" stopIfTrue="1">
      <formula>DAY(C4)&gt;8</formula>
    </cfRule>
  </conditionalFormatting>
  <conditionalFormatting sqref="C8:I10">
    <cfRule type="expression" dxfId="43" priority="3" stopIfTrue="1">
      <formula>AND(DAY(C8)&gt;=1,DAY(C8)&lt;=15)</formula>
    </cfRule>
  </conditionalFormatting>
  <conditionalFormatting sqref="C4:I9">
    <cfRule type="expression" dxfId="42" priority="5">
      <formula>VLOOKUP(DAY(C4),DíasDeTareas,1,FALSE)=DAY(C4)</formula>
    </cfRule>
  </conditionalFormatting>
  <conditionalFormatting sqref="B14:J29 B33:J33">
    <cfRule type="expression" dxfId="41" priority="2">
      <formula>B14&lt;&gt;""</formula>
    </cfRule>
  </conditionalFormatting>
  <conditionalFormatting sqref="B30">
    <cfRule type="expression" dxfId="40" priority="1">
      <formula>B30&lt;&gt;""</formula>
    </cfRule>
  </conditionalFormatting>
  <printOptions horizontalCentered="1"/>
  <pageMargins left="0.5" right="0.5" top="0.5" bottom="0.5" header="0.3" footer="0.3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25" zoomScaleNormal="100" zoomScalePageLayoutView="84" workbookViewId="0">
      <selection activeCell="M16" sqref="M16:N1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22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IF(DAY(MayDom1)=1,MayDom1-6,MayDom1+1)</f>
        <v>43584</v>
      </c>
      <c r="D4" s="10">
        <f>IF(DAY(MayDom1)=1,MayDom1-5,MayDom1+2)</f>
        <v>43585</v>
      </c>
      <c r="E4" s="10">
        <f>IF(DAY(MayDom1)=1,MayDom1-4,MayDom1+3)</f>
        <v>43586</v>
      </c>
      <c r="F4" s="10">
        <f>IF(DAY(MayDom1)=1,MayDom1-3,MayDom1+4)</f>
        <v>43587</v>
      </c>
      <c r="G4" s="10">
        <f>IF(DAY(MayDom1)=1,MayDom1-2,MayDom1+5)</f>
        <v>43588</v>
      </c>
      <c r="H4" s="10">
        <f>IF(DAY(MayDom1)=1,MayDom1-1,MayDom1+6)</f>
        <v>43589</v>
      </c>
      <c r="I4" s="10">
        <f>IF(DAY(MayDom1)=1,MayDom1,MayDom1+7)</f>
        <v>43590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IF(DAY(MayDom1)=1,MayDom1+1,MayDom1+8)</f>
        <v>43591</v>
      </c>
      <c r="D5" s="10">
        <f>IF(DAY(MayDom1)=1,MayDom1+2,MayDom1+9)</f>
        <v>43592</v>
      </c>
      <c r="E5" s="10">
        <f>IF(DAY(MayDom1)=1,MayDom1+3,MayDom1+10)</f>
        <v>43593</v>
      </c>
      <c r="F5" s="10">
        <f>IF(DAY(MayDom1)=1,MayDom1+4,MayDom1+11)</f>
        <v>43594</v>
      </c>
      <c r="G5" s="10">
        <f>IF(DAY(MayDom1)=1,MayDom1+5,MayDom1+12)</f>
        <v>43595</v>
      </c>
      <c r="H5" s="10">
        <f>IF(DAY(MayDom1)=1,MayDom1+6,MayDom1+13)</f>
        <v>43596</v>
      </c>
      <c r="I5" s="10">
        <f>IF(DAY(MayDom1)=1,MayDom1+7,MayDom1+14)</f>
        <v>43597</v>
      </c>
      <c r="J5" s="5"/>
      <c r="K5" s="66"/>
      <c r="L5" s="17"/>
      <c r="M5" s="33"/>
      <c r="N5" s="34"/>
    </row>
    <row r="6" spans="1:14" ht="18" customHeight="1" x14ac:dyDescent="0.2">
      <c r="A6" s="4"/>
      <c r="B6" s="36"/>
      <c r="C6" s="10">
        <f>IF(DAY(MayDom1)=1,MayDom1+8,MayDom1+15)</f>
        <v>43598</v>
      </c>
      <c r="D6" s="10">
        <f>IF(DAY(MayDom1)=1,MayDom1+9,MayDom1+16)</f>
        <v>43599</v>
      </c>
      <c r="E6" s="10">
        <f>IF(DAY(MayDom1)=1,MayDom1+10,MayDom1+17)</f>
        <v>43600</v>
      </c>
      <c r="F6" s="10">
        <f>IF(DAY(MayDom1)=1,MayDom1+11,MayDom1+18)</f>
        <v>43601</v>
      </c>
      <c r="G6" s="10">
        <f>IF(DAY(MayDom1)=1,MayDom1+12,MayDom1+19)</f>
        <v>43602</v>
      </c>
      <c r="H6" s="10">
        <f>IF(DAY(MayDom1)=1,MayDom1+13,MayDom1+20)</f>
        <v>43603</v>
      </c>
      <c r="I6" s="10">
        <f>IF(DAY(MayDom1)=1,MayDom1+14,MayDom1+21)</f>
        <v>43604</v>
      </c>
      <c r="J6" s="5"/>
      <c r="K6" s="66"/>
      <c r="L6" s="17">
        <v>13</v>
      </c>
      <c r="M6" s="33" t="s">
        <v>57</v>
      </c>
      <c r="N6" s="34"/>
    </row>
    <row r="7" spans="1:14" ht="18" customHeight="1" x14ac:dyDescent="0.2">
      <c r="A7" s="4"/>
      <c r="B7" s="36"/>
      <c r="C7" s="10">
        <f>IF(DAY(MayDom1)=1,MayDom1+15,MayDom1+22)</f>
        <v>43605</v>
      </c>
      <c r="D7" s="10">
        <f>IF(DAY(MayDom1)=1,MayDom1+16,MayDom1+23)</f>
        <v>43606</v>
      </c>
      <c r="E7" s="10">
        <f>IF(DAY(MayDom1)=1,MayDom1+17,MayDom1+24)</f>
        <v>43607</v>
      </c>
      <c r="F7" s="10">
        <f>IF(DAY(MayDom1)=1,MayDom1+18,MayDom1+25)</f>
        <v>43608</v>
      </c>
      <c r="G7" s="10">
        <f>IF(DAY(MayDom1)=1,MayDom1+19,MayDom1+26)</f>
        <v>43609</v>
      </c>
      <c r="H7" s="10">
        <f>IF(DAY(MayDom1)=1,MayDom1+20,MayDom1+27)</f>
        <v>43610</v>
      </c>
      <c r="I7" s="10">
        <f>IF(DAY(MayDom1)=1,MayDom1+21,MayDom1+28)</f>
        <v>43611</v>
      </c>
      <c r="J7" s="5"/>
      <c r="K7" s="11"/>
      <c r="L7" s="17">
        <v>20</v>
      </c>
      <c r="M7" s="33" t="s">
        <v>58</v>
      </c>
      <c r="N7" s="34"/>
    </row>
    <row r="8" spans="1:14" ht="18.75" customHeight="1" x14ac:dyDescent="0.2">
      <c r="A8" s="4"/>
      <c r="B8" s="36"/>
      <c r="C8" s="10">
        <f>IF(DAY(MayDom1)=1,MayDom1+22,MayDom1+29)</f>
        <v>43612</v>
      </c>
      <c r="D8" s="10">
        <f>IF(DAY(MayDom1)=1,MayDom1+23,MayDom1+30)</f>
        <v>43613</v>
      </c>
      <c r="E8" s="10">
        <f>IF(DAY(MayDom1)=1,MayDom1+24,MayDom1+31)</f>
        <v>43614</v>
      </c>
      <c r="F8" s="10">
        <f>IF(DAY(MayDom1)=1,MayDom1+25,MayDom1+32)</f>
        <v>43615</v>
      </c>
      <c r="G8" s="10">
        <f>IF(DAY(MayDom1)=1,MayDom1+26,MayDom1+33)</f>
        <v>43616</v>
      </c>
      <c r="H8" s="10">
        <f>IF(DAY(MayDom1)=1,MayDom1+27,MayDom1+34)</f>
        <v>43617</v>
      </c>
      <c r="I8" s="10">
        <f>IF(DAY(MayDom1)=1,MayDom1+28,MayDom1+35)</f>
        <v>43618</v>
      </c>
      <c r="J8" s="5"/>
      <c r="K8" s="11"/>
      <c r="L8" s="17">
        <v>27</v>
      </c>
      <c r="M8" s="33" t="s">
        <v>59</v>
      </c>
      <c r="N8" s="34"/>
    </row>
    <row r="9" spans="1:14" ht="18" customHeight="1" x14ac:dyDescent="0.2">
      <c r="A9" s="4"/>
      <c r="B9" s="36"/>
      <c r="C9" s="10">
        <f>IF(DAY(MayDom1)=1,MayDom1+29,MayDom1+36)</f>
        <v>43619</v>
      </c>
      <c r="D9" s="10">
        <f>IF(DAY(MayDom1)=1,MayDom1+30,MayDom1+37)</f>
        <v>43620</v>
      </c>
      <c r="E9" s="10">
        <f>IF(DAY(MayDom1)=1,MayDom1+31,MayDom1+38)</f>
        <v>43621</v>
      </c>
      <c r="F9" s="10">
        <f>IF(DAY(MayDom1)=1,MayDom1+32,MayDom1+39)</f>
        <v>43622</v>
      </c>
      <c r="G9" s="10">
        <f>IF(DAY(MayDom1)=1,MayDom1+33,MayDom1+40)</f>
        <v>43623</v>
      </c>
      <c r="H9" s="10">
        <f>IF(DAY(MayDom1)=1,MayDom1+34,MayDom1+41)</f>
        <v>43624</v>
      </c>
      <c r="I9" s="10">
        <f>IF(DAY(MayDom1)=1,MayDom1+35,MayDom1+42)</f>
        <v>43625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>
        <v>7</v>
      </c>
      <c r="M11" s="33" t="s">
        <v>53</v>
      </c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/>
      <c r="M12" s="33"/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>
        <v>28</v>
      </c>
      <c r="M13" s="33" t="s">
        <v>60</v>
      </c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47.25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>
        <v>8</v>
      </c>
      <c r="M17" s="27" t="s">
        <v>54</v>
      </c>
      <c r="N17" s="28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/>
      <c r="M20" s="33"/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/>
      <c r="M22" s="31"/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/>
      <c r="M23" s="33"/>
      <c r="N23" s="34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/>
      <c r="M24" s="33"/>
      <c r="N24" s="34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/>
      <c r="M25" s="33"/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25.5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/>
      <c r="M29" s="27"/>
      <c r="N29" s="28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/>
      <c r="M31" s="33"/>
      <c r="N31" s="34"/>
    </row>
    <row r="32" spans="2:14" ht="18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 t="s">
        <v>55</v>
      </c>
      <c r="M33" s="71" t="s">
        <v>56</v>
      </c>
      <c r="N33" s="72"/>
    </row>
  </sheetData>
  <mergeCells count="109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30:N30"/>
  </mergeCells>
  <conditionalFormatting sqref="C4:H4">
    <cfRule type="expression" dxfId="39" priority="4" stopIfTrue="1">
      <formula>DAY(C4)&gt;8</formula>
    </cfRule>
  </conditionalFormatting>
  <conditionalFormatting sqref="C8:I10">
    <cfRule type="expression" dxfId="38" priority="3" stopIfTrue="1">
      <formula>AND(DAY(C8)&gt;=1,DAY(C8)&lt;=15)</formula>
    </cfRule>
  </conditionalFormatting>
  <conditionalFormatting sqref="C4:I9">
    <cfRule type="expression" dxfId="37" priority="5">
      <formula>VLOOKUP(DAY(C4),DíasDeTareas,1,FALSE)=DAY(C4)</formula>
    </cfRule>
  </conditionalFormatting>
  <conditionalFormatting sqref="B14:J29 B33:J33">
    <cfRule type="expression" dxfId="36" priority="2">
      <formula>B14&lt;&gt;""</formula>
    </cfRule>
  </conditionalFormatting>
  <conditionalFormatting sqref="B30">
    <cfRule type="expression" dxfId="35" priority="1">
      <formula>B30&lt;&gt;""</formula>
    </cfRule>
  </conditionalFormatting>
  <printOptions horizontalCentered="1"/>
  <pageMargins left="0.5" right="0.5" top="0.5" bottom="0.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3" zoomScaleNormal="100" zoomScalePageLayoutView="84" workbookViewId="0">
      <selection activeCell="M14" sqref="M14:N14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21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IF(DAY(JunDom1)=1,JunDom1-6,JunDom1+1)</f>
        <v>43612</v>
      </c>
      <c r="D4" s="10">
        <f>IF(DAY(JunDom1)=1,JunDom1-5,JunDom1+2)</f>
        <v>43613</v>
      </c>
      <c r="E4" s="10">
        <f>IF(DAY(JunDom1)=1,JunDom1-4,JunDom1+3)</f>
        <v>43614</v>
      </c>
      <c r="F4" s="10">
        <f>IF(DAY(JunDom1)=1,JunDom1-3,JunDom1+4)</f>
        <v>43615</v>
      </c>
      <c r="G4" s="10">
        <f>IF(DAY(JunDom1)=1,JunDom1-2,JunDom1+5)</f>
        <v>43616</v>
      </c>
      <c r="H4" s="10">
        <f>IF(DAY(JunDom1)=1,JunDom1-1,JunDom1+6)</f>
        <v>43617</v>
      </c>
      <c r="I4" s="10">
        <f>IF(DAY(JunDom1)=1,JunDom1,JunDom1+7)</f>
        <v>43618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IF(DAY(JunDom1)=1,JunDom1+1,JunDom1+8)</f>
        <v>43619</v>
      </c>
      <c r="D5" s="10">
        <f>IF(DAY(JunDom1)=1,JunDom1+2,JunDom1+9)</f>
        <v>43620</v>
      </c>
      <c r="E5" s="10">
        <f>IF(DAY(JunDom1)=1,JunDom1+3,JunDom1+10)</f>
        <v>43621</v>
      </c>
      <c r="F5" s="10">
        <f>IF(DAY(JunDom1)=1,JunDom1+4,JunDom1+11)</f>
        <v>43622</v>
      </c>
      <c r="G5" s="10">
        <f>IF(DAY(JunDom1)=1,JunDom1+5,JunDom1+12)</f>
        <v>43623</v>
      </c>
      <c r="H5" s="10">
        <f>IF(DAY(JunDom1)=1,JunDom1+6,JunDom1+13)</f>
        <v>43624</v>
      </c>
      <c r="I5" s="10">
        <f>IF(DAY(JunDom1)=1,JunDom1+7,JunDom1+14)</f>
        <v>43625</v>
      </c>
      <c r="J5" s="5"/>
      <c r="K5" s="66"/>
      <c r="L5" s="17">
        <v>3</v>
      </c>
      <c r="M5" s="33" t="s">
        <v>61</v>
      </c>
      <c r="N5" s="34"/>
    </row>
    <row r="6" spans="1:14" ht="18" customHeight="1" x14ac:dyDescent="0.2">
      <c r="A6" s="4"/>
      <c r="B6" s="36"/>
      <c r="C6" s="10">
        <f>IF(DAY(JunDom1)=1,JunDom1+8,JunDom1+15)</f>
        <v>43626</v>
      </c>
      <c r="D6" s="10">
        <f>IF(DAY(JunDom1)=1,JunDom1+9,JunDom1+16)</f>
        <v>43627</v>
      </c>
      <c r="E6" s="10">
        <f>IF(DAY(JunDom1)=1,JunDom1+10,JunDom1+17)</f>
        <v>43628</v>
      </c>
      <c r="F6" s="10">
        <f>IF(DAY(JunDom1)=1,JunDom1+11,JunDom1+18)</f>
        <v>43629</v>
      </c>
      <c r="G6" s="10">
        <f>IF(DAY(JunDom1)=1,JunDom1+12,JunDom1+19)</f>
        <v>43630</v>
      </c>
      <c r="H6" s="10">
        <f>IF(DAY(JunDom1)=1,JunDom1+13,JunDom1+20)</f>
        <v>43631</v>
      </c>
      <c r="I6" s="10">
        <f>IF(DAY(JunDom1)=1,JunDom1+14,JunDom1+21)</f>
        <v>43632</v>
      </c>
      <c r="J6" s="5"/>
      <c r="K6" s="66"/>
      <c r="L6" s="17">
        <v>10</v>
      </c>
      <c r="M6" s="33" t="s">
        <v>63</v>
      </c>
      <c r="N6" s="34"/>
    </row>
    <row r="7" spans="1:14" ht="18" customHeight="1" x14ac:dyDescent="0.2">
      <c r="A7" s="4"/>
      <c r="B7" s="36"/>
      <c r="C7" s="10">
        <f>IF(DAY(JunDom1)=1,JunDom1+15,JunDom1+22)</f>
        <v>43633</v>
      </c>
      <c r="D7" s="10">
        <f>IF(DAY(JunDom1)=1,JunDom1+16,JunDom1+23)</f>
        <v>43634</v>
      </c>
      <c r="E7" s="10">
        <f>IF(DAY(JunDom1)=1,JunDom1+17,JunDom1+24)</f>
        <v>43635</v>
      </c>
      <c r="F7" s="10">
        <f>IF(DAY(JunDom1)=1,JunDom1+18,JunDom1+25)</f>
        <v>43636</v>
      </c>
      <c r="G7" s="10">
        <f>IF(DAY(JunDom1)=1,JunDom1+19,JunDom1+26)</f>
        <v>43637</v>
      </c>
      <c r="H7" s="10">
        <f>IF(DAY(JunDom1)=1,JunDom1+20,JunDom1+27)</f>
        <v>43638</v>
      </c>
      <c r="I7" s="10">
        <f>IF(DAY(JunDom1)=1,JunDom1+21,JunDom1+28)</f>
        <v>43639</v>
      </c>
      <c r="J7" s="5"/>
      <c r="K7" s="11"/>
      <c r="L7" s="17"/>
      <c r="M7" s="33"/>
      <c r="N7" s="34"/>
    </row>
    <row r="8" spans="1:14" ht="18.75" customHeight="1" x14ac:dyDescent="0.2">
      <c r="A8" s="4"/>
      <c r="B8" s="36"/>
      <c r="C8" s="10">
        <f>IF(DAY(JunDom1)=1,JunDom1+22,JunDom1+29)</f>
        <v>43640</v>
      </c>
      <c r="D8" s="10">
        <f>IF(DAY(JunDom1)=1,JunDom1+23,JunDom1+30)</f>
        <v>43641</v>
      </c>
      <c r="E8" s="10">
        <f>IF(DAY(JunDom1)=1,JunDom1+24,JunDom1+31)</f>
        <v>43642</v>
      </c>
      <c r="F8" s="10">
        <f>IF(DAY(JunDom1)=1,JunDom1+25,JunDom1+32)</f>
        <v>43643</v>
      </c>
      <c r="G8" s="10">
        <f>IF(DAY(JunDom1)=1,JunDom1+26,JunDom1+33)</f>
        <v>43644</v>
      </c>
      <c r="H8" s="10">
        <f>IF(DAY(JunDom1)=1,JunDom1+27,JunDom1+34)</f>
        <v>43645</v>
      </c>
      <c r="I8" s="10">
        <f>IF(DAY(JunDom1)=1,JunDom1+28,JunDom1+35)</f>
        <v>43646</v>
      </c>
      <c r="J8" s="5"/>
      <c r="K8" s="11"/>
      <c r="L8" s="17"/>
      <c r="M8" s="33"/>
      <c r="N8" s="34"/>
    </row>
    <row r="9" spans="1:14" ht="18" customHeight="1" x14ac:dyDescent="0.2">
      <c r="A9" s="4"/>
      <c r="B9" s="36"/>
      <c r="C9" s="10">
        <f>IF(DAY(JunDom1)=1,JunDom1+29,JunDom1+36)</f>
        <v>43647</v>
      </c>
      <c r="D9" s="10">
        <f>IF(DAY(JunDom1)=1,JunDom1+30,JunDom1+37)</f>
        <v>43648</v>
      </c>
      <c r="E9" s="10">
        <f>IF(DAY(JunDom1)=1,JunDom1+31,JunDom1+38)</f>
        <v>43649</v>
      </c>
      <c r="F9" s="10">
        <f>IF(DAY(JunDom1)=1,JunDom1+32,JunDom1+39)</f>
        <v>43650</v>
      </c>
      <c r="G9" s="10">
        <f>IF(DAY(JunDom1)=1,JunDom1+33,JunDom1+40)</f>
        <v>43651</v>
      </c>
      <c r="H9" s="10">
        <f>IF(DAY(JunDom1)=1,JunDom1+34,JunDom1+41)</f>
        <v>43652</v>
      </c>
      <c r="I9" s="10">
        <f>IF(DAY(JunDom1)=1,JunDom1+35,JunDom1+42)</f>
        <v>43653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>
        <v>4</v>
      </c>
      <c r="M11" s="33" t="s">
        <v>62</v>
      </c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>
        <v>11</v>
      </c>
      <c r="M12" s="33" t="s">
        <v>64</v>
      </c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>
        <v>18</v>
      </c>
      <c r="M13" s="33" t="s">
        <v>64</v>
      </c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/>
      <c r="M17" s="33"/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/>
      <c r="M20" s="33"/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/>
      <c r="M22" s="31"/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>
        <v>13</v>
      </c>
      <c r="M23" s="33" t="s">
        <v>79</v>
      </c>
      <c r="N23" s="34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/>
      <c r="M24" s="33"/>
      <c r="N24" s="34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/>
      <c r="M25" s="33"/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>
        <v>14</v>
      </c>
      <c r="M29" s="33" t="s">
        <v>65</v>
      </c>
      <c r="N29" s="34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/>
      <c r="M31" s="33"/>
      <c r="N31" s="34"/>
    </row>
    <row r="32" spans="2:14" ht="18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/>
      <c r="M33" s="71"/>
      <c r="N33" s="72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34" priority="4" stopIfTrue="1">
      <formula>DAY(C4)&gt;8</formula>
    </cfRule>
  </conditionalFormatting>
  <conditionalFormatting sqref="C8:I10">
    <cfRule type="expression" dxfId="33" priority="3" stopIfTrue="1">
      <formula>AND(DAY(C8)&gt;=1,DAY(C8)&lt;=15)</formula>
    </cfRule>
  </conditionalFormatting>
  <conditionalFormatting sqref="C4:I9">
    <cfRule type="expression" dxfId="32" priority="5">
      <formula>VLOOKUP(DAY(C4),DíasDeTareas,1,FALSE)=DAY(C4)</formula>
    </cfRule>
  </conditionalFormatting>
  <conditionalFormatting sqref="B14:J29 B33:J33">
    <cfRule type="expression" dxfId="31" priority="2">
      <formula>B14&lt;&gt;""</formula>
    </cfRule>
  </conditionalFormatting>
  <conditionalFormatting sqref="B30">
    <cfRule type="expression" dxfId="30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11" sqref="M11:N1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20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IF(DAY(JulDom1)=1,JulDom1-6,JulDom1+1)</f>
        <v>43647</v>
      </c>
      <c r="D4" s="10">
        <f>IF(DAY(JulDom1)=1,JulDom1-5,JulDom1+2)</f>
        <v>43648</v>
      </c>
      <c r="E4" s="10">
        <f>IF(DAY(JulDom1)=1,JulDom1-4,JulDom1+3)</f>
        <v>43649</v>
      </c>
      <c r="F4" s="10">
        <f>IF(DAY(JulDom1)=1,JulDom1-3,JulDom1+4)</f>
        <v>43650</v>
      </c>
      <c r="G4" s="10">
        <f>IF(DAY(JulDom1)=1,JulDom1-2,JulDom1+5)</f>
        <v>43651</v>
      </c>
      <c r="H4" s="10">
        <f>IF(DAY(JulDom1)=1,JulDom1-1,JulDom1+6)</f>
        <v>43652</v>
      </c>
      <c r="I4" s="10">
        <f>IF(DAY(JulDom1)=1,JulDom1,JulDom1+7)</f>
        <v>43653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IF(DAY(JulDom1)=1,JulDom1+1,JulDom1+8)</f>
        <v>43654</v>
      </c>
      <c r="D5" s="10">
        <f>IF(DAY(JulDom1)=1,JulDom1+2,JulDom1+9)</f>
        <v>43655</v>
      </c>
      <c r="E5" s="10">
        <f>IF(DAY(JulDom1)=1,JulDom1+3,JulDom1+10)</f>
        <v>43656</v>
      </c>
      <c r="F5" s="10">
        <f>IF(DAY(JulDom1)=1,JulDom1+4,JulDom1+11)</f>
        <v>43657</v>
      </c>
      <c r="G5" s="10">
        <f>IF(DAY(JulDom1)=1,JulDom1+5,JulDom1+12)</f>
        <v>43658</v>
      </c>
      <c r="H5" s="10">
        <f>IF(DAY(JulDom1)=1,JulDom1+6,JulDom1+13)</f>
        <v>43659</v>
      </c>
      <c r="I5" s="10">
        <f>IF(DAY(JulDom1)=1,JulDom1+7,JulDom1+14)</f>
        <v>43660</v>
      </c>
      <c r="J5" s="5"/>
      <c r="K5" s="66"/>
      <c r="L5" s="17"/>
      <c r="M5" s="33"/>
      <c r="N5" s="34"/>
    </row>
    <row r="6" spans="1:14" ht="18" customHeight="1" x14ac:dyDescent="0.2">
      <c r="A6" s="4"/>
      <c r="B6" s="36"/>
      <c r="C6" s="10">
        <f>IF(DAY(JulDom1)=1,JulDom1+8,JulDom1+15)</f>
        <v>43661</v>
      </c>
      <c r="D6" s="10">
        <f>IF(DAY(JulDom1)=1,JulDom1+9,JulDom1+16)</f>
        <v>43662</v>
      </c>
      <c r="E6" s="10">
        <f>IF(DAY(JulDom1)=1,JulDom1+10,JulDom1+17)</f>
        <v>43663</v>
      </c>
      <c r="F6" s="10">
        <f>IF(DAY(JulDom1)=1,JulDom1+11,JulDom1+18)</f>
        <v>43664</v>
      </c>
      <c r="G6" s="10">
        <f>IF(DAY(JulDom1)=1,JulDom1+12,JulDom1+19)</f>
        <v>43665</v>
      </c>
      <c r="H6" s="10">
        <f>IF(DAY(JulDom1)=1,JulDom1+13,JulDom1+20)</f>
        <v>43666</v>
      </c>
      <c r="I6" s="10">
        <f>IF(DAY(JulDom1)=1,JulDom1+14,JulDom1+21)</f>
        <v>43667</v>
      </c>
      <c r="J6" s="5"/>
      <c r="K6" s="66"/>
      <c r="L6" s="17"/>
      <c r="M6" s="33"/>
      <c r="N6" s="34"/>
    </row>
    <row r="7" spans="1:14" ht="18" customHeight="1" x14ac:dyDescent="0.2">
      <c r="A7" s="4"/>
      <c r="B7" s="36"/>
      <c r="C7" s="10">
        <f>IF(DAY(JulDom1)=1,JulDom1+15,JulDom1+22)</f>
        <v>43668</v>
      </c>
      <c r="D7" s="10">
        <f>IF(DAY(JulDom1)=1,JulDom1+16,JulDom1+23)</f>
        <v>43669</v>
      </c>
      <c r="E7" s="10">
        <f>IF(DAY(JulDom1)=1,JulDom1+17,JulDom1+24)</f>
        <v>43670</v>
      </c>
      <c r="F7" s="10">
        <f>IF(DAY(JulDom1)=1,JulDom1+18,JulDom1+25)</f>
        <v>43671</v>
      </c>
      <c r="G7" s="10">
        <f>IF(DAY(JulDom1)=1,JulDom1+19,JulDom1+26)</f>
        <v>43672</v>
      </c>
      <c r="H7" s="10">
        <f>IF(DAY(JulDom1)=1,JulDom1+20,JulDom1+27)</f>
        <v>43673</v>
      </c>
      <c r="I7" s="10">
        <f>IF(DAY(JulDom1)=1,JulDom1+21,JulDom1+28)</f>
        <v>43674</v>
      </c>
      <c r="J7" s="5"/>
      <c r="K7" s="11"/>
      <c r="L7" s="17"/>
      <c r="M7" s="33"/>
      <c r="N7" s="34"/>
    </row>
    <row r="8" spans="1:14" ht="18.75" customHeight="1" x14ac:dyDescent="0.2">
      <c r="A8" s="4"/>
      <c r="B8" s="36"/>
      <c r="C8" s="10">
        <f>IF(DAY(JulDom1)=1,JulDom1+22,JulDom1+29)</f>
        <v>43675</v>
      </c>
      <c r="D8" s="10">
        <f>IF(DAY(JulDom1)=1,JulDom1+23,JulDom1+30)</f>
        <v>43676</v>
      </c>
      <c r="E8" s="10">
        <f>IF(DAY(JulDom1)=1,JulDom1+24,JulDom1+31)</f>
        <v>43677</v>
      </c>
      <c r="F8" s="10">
        <f>IF(DAY(JulDom1)=1,JulDom1+25,JulDom1+32)</f>
        <v>43678</v>
      </c>
      <c r="G8" s="10">
        <f>IF(DAY(JulDom1)=1,JulDom1+26,JulDom1+33)</f>
        <v>43679</v>
      </c>
      <c r="H8" s="10">
        <f>IF(DAY(JulDom1)=1,JulDom1+27,JulDom1+34)</f>
        <v>43680</v>
      </c>
      <c r="I8" s="10">
        <f>IF(DAY(JulDom1)=1,JulDom1+28,JulDom1+35)</f>
        <v>43681</v>
      </c>
      <c r="J8" s="5"/>
      <c r="K8" s="11"/>
      <c r="L8" s="17">
        <v>29</v>
      </c>
      <c r="M8" s="33" t="s">
        <v>70</v>
      </c>
      <c r="N8" s="34"/>
    </row>
    <row r="9" spans="1:14" ht="18" customHeight="1" x14ac:dyDescent="0.2">
      <c r="A9" s="4"/>
      <c r="B9" s="36"/>
      <c r="C9" s="10">
        <f>IF(DAY(JulDom1)=1,JulDom1+29,JulDom1+36)</f>
        <v>43682</v>
      </c>
      <c r="D9" s="10">
        <f>IF(DAY(JulDom1)=1,JulDom1+30,JulDom1+37)</f>
        <v>43683</v>
      </c>
      <c r="E9" s="10">
        <f>IF(DAY(JulDom1)=1,JulDom1+31,JulDom1+38)</f>
        <v>43684</v>
      </c>
      <c r="F9" s="10">
        <f>IF(DAY(JulDom1)=1,JulDom1+32,JulDom1+39)</f>
        <v>43685</v>
      </c>
      <c r="G9" s="10">
        <f>IF(DAY(JulDom1)=1,JulDom1+33,JulDom1+40)</f>
        <v>43686</v>
      </c>
      <c r="H9" s="10">
        <f>IF(DAY(JulDom1)=1,JulDom1+34,JulDom1+41)</f>
        <v>43687</v>
      </c>
      <c r="I9" s="10">
        <f>IF(DAY(JulDom1)=1,JulDom1+35,JulDom1+42)</f>
        <v>43688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/>
      <c r="M11" s="33"/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>
        <v>9</v>
      </c>
      <c r="M12" s="33" t="s">
        <v>67</v>
      </c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/>
      <c r="M13" s="33"/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/>
      <c r="M17" s="33"/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>
        <v>24</v>
      </c>
      <c r="M20" s="33" t="s">
        <v>64</v>
      </c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>
        <v>31</v>
      </c>
      <c r="M21" s="29" t="s">
        <v>69</v>
      </c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/>
      <c r="M22" s="31"/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>
        <v>4</v>
      </c>
      <c r="M23" s="33" t="s">
        <v>66</v>
      </c>
      <c r="N23" s="34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>
        <v>11</v>
      </c>
      <c r="M24" s="33" t="s">
        <v>68</v>
      </c>
      <c r="N24" s="34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/>
      <c r="M25" s="33"/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/>
      <c r="M29" s="33"/>
      <c r="N29" s="34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/>
      <c r="M31" s="33"/>
      <c r="N31" s="34"/>
    </row>
    <row r="32" spans="2:14" ht="18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/>
      <c r="M33" s="71"/>
      <c r="N33" s="72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29" priority="4" stopIfTrue="1">
      <formula>DAY(C4)&gt;8</formula>
    </cfRule>
  </conditionalFormatting>
  <conditionalFormatting sqref="C8:I10">
    <cfRule type="expression" dxfId="28" priority="3" stopIfTrue="1">
      <formula>AND(DAY(C8)&gt;=1,DAY(C8)&lt;=15)</formula>
    </cfRule>
  </conditionalFormatting>
  <conditionalFormatting sqref="C4:I9">
    <cfRule type="expression" dxfId="27" priority="5">
      <formula>VLOOKUP(DAY(C4),DíasDeTareas,1,FALSE)=DAY(C4)</formula>
    </cfRule>
  </conditionalFormatting>
  <conditionalFormatting sqref="B14:J29 B33:J33">
    <cfRule type="expression" dxfId="26" priority="2">
      <formula>B14&lt;&gt;""</formula>
    </cfRule>
  </conditionalFormatting>
  <conditionalFormatting sqref="B30">
    <cfRule type="expression" dxfId="25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7" zoomScaleNormal="100" zoomScalePageLayoutView="84" workbookViewId="0">
      <selection activeCell="M22" sqref="M22:N2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>
      <c r="A1" s="2"/>
      <c r="B1" s="2"/>
      <c r="C1" s="2"/>
      <c r="D1" s="2"/>
      <c r="E1" s="2"/>
      <c r="F1" s="2"/>
      <c r="G1" s="2"/>
    </row>
    <row r="2" spans="1:14" ht="18" customHeight="1" x14ac:dyDescent="0.2">
      <c r="A2" s="4"/>
      <c r="B2" s="35" t="s">
        <v>19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IF(DAY(AgoDom1)=1,AgoDom1-6,AgoDom1+1)</f>
        <v>43675</v>
      </c>
      <c r="D4" s="10">
        <f>IF(DAY(AgoDom1)=1,AgoDom1-5,AgoDom1+2)</f>
        <v>43676</v>
      </c>
      <c r="E4" s="10">
        <f>IF(DAY(AgoDom1)=1,AgoDom1-4,AgoDom1+3)</f>
        <v>43677</v>
      </c>
      <c r="F4" s="10">
        <f>IF(DAY(AgoDom1)=1,AgoDom1-3,AgoDom1+4)</f>
        <v>43678</v>
      </c>
      <c r="G4" s="10">
        <f>IF(DAY(AgoDom1)=1,AgoDom1-2,AgoDom1+5)</f>
        <v>43679</v>
      </c>
      <c r="H4" s="10">
        <f>IF(DAY(AgoDom1)=1,AgoDom1-1,AgoDom1+6)</f>
        <v>43680</v>
      </c>
      <c r="I4" s="10">
        <f>IF(DAY(AgoDom1)=1,AgoDom1,AgoDom1+7)</f>
        <v>43681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IF(DAY(AgoDom1)=1,AgoDom1+1,AgoDom1+8)</f>
        <v>43682</v>
      </c>
      <c r="D5" s="10">
        <f>IF(DAY(AgoDom1)=1,AgoDom1+2,AgoDom1+9)</f>
        <v>43683</v>
      </c>
      <c r="E5" s="10">
        <f>IF(DAY(AgoDom1)=1,AgoDom1+3,AgoDom1+10)</f>
        <v>43684</v>
      </c>
      <c r="F5" s="10">
        <f>IF(DAY(AgoDom1)=1,AgoDom1+4,AgoDom1+11)</f>
        <v>43685</v>
      </c>
      <c r="G5" s="10">
        <f>IF(DAY(AgoDom1)=1,AgoDom1+5,AgoDom1+12)</f>
        <v>43686</v>
      </c>
      <c r="H5" s="10">
        <f>IF(DAY(AgoDom1)=1,AgoDom1+6,AgoDom1+13)</f>
        <v>43687</v>
      </c>
      <c r="I5" s="10">
        <f>IF(DAY(AgoDom1)=1,AgoDom1+7,AgoDom1+14)</f>
        <v>43688</v>
      </c>
      <c r="J5" s="5"/>
      <c r="K5" s="66"/>
      <c r="L5" s="17"/>
      <c r="M5" s="33"/>
      <c r="N5" s="34"/>
    </row>
    <row r="6" spans="1:14" ht="18" customHeight="1" x14ac:dyDescent="0.2">
      <c r="A6" s="4"/>
      <c r="B6" s="36"/>
      <c r="C6" s="10">
        <f>IF(DAY(AgoDom1)=1,AgoDom1+8,AgoDom1+15)</f>
        <v>43689</v>
      </c>
      <c r="D6" s="10">
        <f>IF(DAY(AgoDom1)=1,AgoDom1+9,AgoDom1+16)</f>
        <v>43690</v>
      </c>
      <c r="E6" s="10">
        <f>IF(DAY(AgoDom1)=1,AgoDom1+10,AgoDom1+17)</f>
        <v>43691</v>
      </c>
      <c r="F6" s="10">
        <f>IF(DAY(AgoDom1)=1,AgoDom1+11,AgoDom1+18)</f>
        <v>43692</v>
      </c>
      <c r="G6" s="10">
        <f>IF(DAY(AgoDom1)=1,AgoDom1+12,AgoDom1+19)</f>
        <v>43693</v>
      </c>
      <c r="H6" s="10">
        <f>IF(DAY(AgoDom1)=1,AgoDom1+13,AgoDom1+20)</f>
        <v>43694</v>
      </c>
      <c r="I6" s="10">
        <f>IF(DAY(AgoDom1)=1,AgoDom1+14,AgoDom1+21)</f>
        <v>43695</v>
      </c>
      <c r="J6" s="5"/>
      <c r="K6" s="66"/>
      <c r="L6" s="17"/>
      <c r="M6" s="33"/>
      <c r="N6" s="34"/>
    </row>
    <row r="7" spans="1:14" ht="18" customHeight="1" x14ac:dyDescent="0.2">
      <c r="A7" s="4"/>
      <c r="B7" s="36"/>
      <c r="C7" s="10">
        <f>IF(DAY(AgoDom1)=1,AgoDom1+15,AgoDom1+22)</f>
        <v>43696</v>
      </c>
      <c r="D7" s="10">
        <f>IF(DAY(AgoDom1)=1,AgoDom1+16,AgoDom1+23)</f>
        <v>43697</v>
      </c>
      <c r="E7" s="10">
        <f>IF(DAY(AgoDom1)=1,AgoDom1+17,AgoDom1+24)</f>
        <v>43698</v>
      </c>
      <c r="F7" s="10">
        <f>IF(DAY(AgoDom1)=1,AgoDom1+18,AgoDom1+25)</f>
        <v>43699</v>
      </c>
      <c r="G7" s="10">
        <f>IF(DAY(AgoDom1)=1,AgoDom1+19,AgoDom1+26)</f>
        <v>43700</v>
      </c>
      <c r="H7" s="10">
        <f>IF(DAY(AgoDom1)=1,AgoDom1+20,AgoDom1+27)</f>
        <v>43701</v>
      </c>
      <c r="I7" s="10">
        <f>IF(DAY(AgoDom1)=1,AgoDom1+21,AgoDom1+28)</f>
        <v>43702</v>
      </c>
      <c r="J7" s="5"/>
      <c r="K7" s="11"/>
      <c r="L7" s="17"/>
      <c r="M7" s="33"/>
      <c r="N7" s="34"/>
    </row>
    <row r="8" spans="1:14" ht="18.75" customHeight="1" x14ac:dyDescent="0.2">
      <c r="A8" s="4"/>
      <c r="B8" s="36"/>
      <c r="C8" s="10">
        <f>IF(DAY(AgoDom1)=1,AgoDom1+22,AgoDom1+29)</f>
        <v>43703</v>
      </c>
      <c r="D8" s="10">
        <f>IF(DAY(AgoDom1)=1,AgoDom1+23,AgoDom1+30)</f>
        <v>43704</v>
      </c>
      <c r="E8" s="10">
        <f>IF(DAY(AgoDom1)=1,AgoDom1+24,AgoDom1+31)</f>
        <v>43705</v>
      </c>
      <c r="F8" s="10">
        <f>IF(DAY(AgoDom1)=1,AgoDom1+25,AgoDom1+32)</f>
        <v>43706</v>
      </c>
      <c r="G8" s="10">
        <f>IF(DAY(AgoDom1)=1,AgoDom1+26,AgoDom1+33)</f>
        <v>43707</v>
      </c>
      <c r="H8" s="10">
        <f>IF(DAY(AgoDom1)=1,AgoDom1+27,AgoDom1+34)</f>
        <v>43708</v>
      </c>
      <c r="I8" s="10">
        <f>IF(DAY(AgoDom1)=1,AgoDom1+28,AgoDom1+35)</f>
        <v>43709</v>
      </c>
      <c r="J8" s="5"/>
      <c r="K8" s="11"/>
      <c r="L8" s="17">
        <v>26</v>
      </c>
      <c r="M8" s="33" t="s">
        <v>72</v>
      </c>
      <c r="N8" s="34"/>
    </row>
    <row r="9" spans="1:14" ht="18" customHeight="1" x14ac:dyDescent="0.2">
      <c r="A9" s="4"/>
      <c r="B9" s="36"/>
      <c r="C9" s="10">
        <f>IF(DAY(AgoDom1)=1,AgoDom1+29,AgoDom1+36)</f>
        <v>43710</v>
      </c>
      <c r="D9" s="10">
        <f>IF(DAY(AgoDom1)=1,AgoDom1+30,AgoDom1+37)</f>
        <v>43711</v>
      </c>
      <c r="E9" s="10">
        <f>IF(DAY(AgoDom1)=1,AgoDom1+31,AgoDom1+38)</f>
        <v>43712</v>
      </c>
      <c r="F9" s="10">
        <f>IF(DAY(AgoDom1)=1,AgoDom1+32,AgoDom1+39)</f>
        <v>43713</v>
      </c>
      <c r="G9" s="10">
        <f>IF(DAY(AgoDom1)=1,AgoDom1+33,AgoDom1+40)</f>
        <v>43714</v>
      </c>
      <c r="H9" s="10">
        <f>IF(DAY(AgoDom1)=1,AgoDom1+34,AgoDom1+41)</f>
        <v>43715</v>
      </c>
      <c r="I9" s="10">
        <f>IF(DAY(AgoDom1)=1,AgoDom1+35,AgoDom1+42)</f>
        <v>43716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/>
      <c r="M11" s="33"/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>
        <v>20</v>
      </c>
      <c r="M12" s="33" t="s">
        <v>64</v>
      </c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/>
      <c r="M13" s="33"/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/>
      <c r="M17" s="33"/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>
        <v>28</v>
      </c>
      <c r="M20" s="33" t="s">
        <v>64</v>
      </c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/>
      <c r="M22" s="31"/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>
        <v>1</v>
      </c>
      <c r="M23" s="33" t="s">
        <v>64</v>
      </c>
      <c r="N23" s="34"/>
    </row>
    <row r="24" spans="2:14" ht="33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>
        <v>8</v>
      </c>
      <c r="M24" s="27" t="s">
        <v>71</v>
      </c>
      <c r="N24" s="28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/>
      <c r="M25" s="33"/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/>
      <c r="M29" s="33"/>
      <c r="N29" s="34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/>
      <c r="M31" s="33"/>
      <c r="N31" s="34"/>
    </row>
    <row r="32" spans="2:14" ht="18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/>
      <c r="M33" s="71"/>
      <c r="N33" s="72"/>
    </row>
  </sheetData>
  <mergeCells count="110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24" priority="4" stopIfTrue="1">
      <formula>DAY(C4)&gt;8</formula>
    </cfRule>
  </conditionalFormatting>
  <conditionalFormatting sqref="C8:I10">
    <cfRule type="expression" dxfId="23" priority="3" stopIfTrue="1">
      <formula>AND(DAY(C8)&gt;=1,DAY(C8)&lt;=15)</formula>
    </cfRule>
  </conditionalFormatting>
  <conditionalFormatting sqref="C4:I9">
    <cfRule type="expression" dxfId="22" priority="5">
      <formula>VLOOKUP(DAY(C4),DíasDeTareas,1,FALSE)=DAY(C4)</formula>
    </cfRule>
  </conditionalFormatting>
  <conditionalFormatting sqref="B14:J29 B33:J33">
    <cfRule type="expression" dxfId="21" priority="2">
      <formula>B14&lt;&gt;""</formula>
    </cfRule>
  </conditionalFormatting>
  <conditionalFormatting sqref="B30">
    <cfRule type="expression" dxfId="20" priority="1">
      <formula>B30&lt;&gt;""</formula>
    </cfRule>
  </conditionalFormatting>
  <printOptions horizontalCentered="1"/>
  <pageMargins left="0.5" right="0.5" top="0.5" bottom="0.5" header="0.3" footer="0.3"/>
  <pageSetup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4"/>
  <sheetViews>
    <sheetView showGridLines="0" topLeftCell="A19" zoomScaleNormal="100" zoomScalePageLayoutView="84" workbookViewId="0">
      <selection activeCell="M20" sqref="M20:N20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18</v>
      </c>
      <c r="C2" s="21"/>
      <c r="D2" s="21"/>
      <c r="E2" s="21"/>
      <c r="F2" s="21"/>
      <c r="G2" s="21"/>
      <c r="H2" s="21"/>
      <c r="I2" s="21"/>
      <c r="J2" s="22"/>
      <c r="K2" s="73" t="s">
        <v>2</v>
      </c>
      <c r="L2" s="74">
        <v>2013</v>
      </c>
      <c r="M2" s="74"/>
      <c r="N2" s="25"/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5"/>
      <c r="L3" s="76"/>
      <c r="M3" s="76"/>
      <c r="N3" s="26"/>
    </row>
    <row r="4" spans="1:14" ht="18" customHeight="1" x14ac:dyDescent="0.2">
      <c r="A4" s="4"/>
      <c r="B4" s="36"/>
      <c r="C4" s="10">
        <f>IF(DAY(SepDom1)=1,SepDom1-6,SepDom1+1)</f>
        <v>43703</v>
      </c>
      <c r="D4" s="10">
        <f>IF(DAY(SepDom1)=1,SepDom1-5,SepDom1+2)</f>
        <v>43704</v>
      </c>
      <c r="E4" s="10">
        <f>IF(DAY(SepDom1)=1,SepDom1-4,SepDom1+3)</f>
        <v>43705</v>
      </c>
      <c r="F4" s="10">
        <f>IF(DAY(SepDom1)=1,SepDom1-3,SepDom1+4)</f>
        <v>43706</v>
      </c>
      <c r="G4" s="10">
        <f>IF(DAY(SepDom1)=1,SepDom1-2,SepDom1+5)</f>
        <v>43707</v>
      </c>
      <c r="H4" s="10">
        <f>IF(DAY(SepDom1)=1,SepDom1-1,SepDom1+6)</f>
        <v>43708</v>
      </c>
      <c r="I4" s="10">
        <f>IF(DAY(SepDom1)=1,SepDom1,SepDom1+7)</f>
        <v>43709</v>
      </c>
      <c r="J4" s="5"/>
      <c r="K4" s="77" t="s">
        <v>11</v>
      </c>
      <c r="L4" s="16"/>
      <c r="M4" s="78"/>
      <c r="N4" s="79"/>
    </row>
    <row r="5" spans="1:14" ht="18" customHeight="1" x14ac:dyDescent="0.2">
      <c r="A5" s="4"/>
      <c r="B5" s="36"/>
      <c r="C5" s="10">
        <f>IF(DAY(SepDom1)=1,SepDom1+1,SepDom1+8)</f>
        <v>43710</v>
      </c>
      <c r="D5" s="10">
        <f>IF(DAY(SepDom1)=1,SepDom1+2,SepDom1+9)</f>
        <v>43711</v>
      </c>
      <c r="E5" s="10">
        <f>IF(DAY(SepDom1)=1,SepDom1+3,SepDom1+10)</f>
        <v>43712</v>
      </c>
      <c r="F5" s="10">
        <f>IF(DAY(SepDom1)=1,SepDom1+4,SepDom1+11)</f>
        <v>43713</v>
      </c>
      <c r="G5" s="10">
        <f>IF(DAY(SepDom1)=1,SepDom1+5,SepDom1+12)</f>
        <v>43714</v>
      </c>
      <c r="H5" s="10">
        <f>IF(DAY(SepDom1)=1,SepDom1+6,SepDom1+13)</f>
        <v>43715</v>
      </c>
      <c r="I5" s="10">
        <f>IF(DAY(SepDom1)=1,SepDom1+7,SepDom1+14)</f>
        <v>43716</v>
      </c>
      <c r="J5" s="5"/>
      <c r="K5" s="66"/>
      <c r="L5" s="17">
        <v>2</v>
      </c>
      <c r="M5" s="33" t="s">
        <v>73</v>
      </c>
      <c r="N5" s="34"/>
    </row>
    <row r="6" spans="1:14" ht="18" customHeight="1" x14ac:dyDescent="0.2">
      <c r="A6" s="4"/>
      <c r="B6" s="36"/>
      <c r="C6" s="10">
        <f>IF(DAY(SepDom1)=1,SepDom1+8,SepDom1+15)</f>
        <v>43717</v>
      </c>
      <c r="D6" s="10">
        <f>IF(DAY(SepDom1)=1,SepDom1+9,SepDom1+16)</f>
        <v>43718</v>
      </c>
      <c r="E6" s="10">
        <f>IF(DAY(SepDom1)=1,SepDom1+10,SepDom1+17)</f>
        <v>43719</v>
      </c>
      <c r="F6" s="10">
        <f>IF(DAY(SepDom1)=1,SepDom1+11,SepDom1+18)</f>
        <v>43720</v>
      </c>
      <c r="G6" s="10">
        <f>IF(DAY(SepDom1)=1,SepDom1+12,SepDom1+19)</f>
        <v>43721</v>
      </c>
      <c r="H6" s="10">
        <f>IF(DAY(SepDom1)=1,SepDom1+13,SepDom1+20)</f>
        <v>43722</v>
      </c>
      <c r="I6" s="10">
        <f>IF(DAY(SepDom1)=1,SepDom1+14,SepDom1+21)</f>
        <v>43723</v>
      </c>
      <c r="J6" s="5"/>
      <c r="K6" s="66"/>
      <c r="L6" s="17"/>
      <c r="M6" s="33"/>
      <c r="N6" s="34"/>
    </row>
    <row r="7" spans="1:14" ht="18" customHeight="1" x14ac:dyDescent="0.2">
      <c r="A7" s="4"/>
      <c r="B7" s="36"/>
      <c r="C7" s="10">
        <f>IF(DAY(SepDom1)=1,SepDom1+15,SepDom1+22)</f>
        <v>43724</v>
      </c>
      <c r="D7" s="10">
        <f>IF(DAY(SepDom1)=1,SepDom1+16,SepDom1+23)</f>
        <v>43725</v>
      </c>
      <c r="E7" s="10">
        <f>IF(DAY(SepDom1)=1,SepDom1+17,SepDom1+24)</f>
        <v>43726</v>
      </c>
      <c r="F7" s="10">
        <f>IF(DAY(SepDom1)=1,SepDom1+18,SepDom1+25)</f>
        <v>43727</v>
      </c>
      <c r="G7" s="10">
        <f>IF(DAY(SepDom1)=1,SepDom1+19,SepDom1+26)</f>
        <v>43728</v>
      </c>
      <c r="H7" s="10">
        <f>IF(DAY(SepDom1)=1,SepDom1+20,SepDom1+27)</f>
        <v>43729</v>
      </c>
      <c r="I7" s="10">
        <f>IF(DAY(SepDom1)=1,SepDom1+21,SepDom1+28)</f>
        <v>43730</v>
      </c>
      <c r="J7" s="5"/>
      <c r="K7" s="11"/>
      <c r="L7" s="17"/>
      <c r="M7" s="33"/>
      <c r="N7" s="34"/>
    </row>
    <row r="8" spans="1:14" ht="18.75" customHeight="1" x14ac:dyDescent="0.2">
      <c r="A8" s="4"/>
      <c r="B8" s="36"/>
      <c r="C8" s="10">
        <f>IF(DAY(SepDom1)=1,SepDom1+22,SepDom1+29)</f>
        <v>43731</v>
      </c>
      <c r="D8" s="10">
        <f>IF(DAY(SepDom1)=1,SepDom1+23,SepDom1+30)</f>
        <v>43732</v>
      </c>
      <c r="E8" s="10">
        <f>IF(DAY(SepDom1)=1,SepDom1+24,SepDom1+31)</f>
        <v>43733</v>
      </c>
      <c r="F8" s="10">
        <f>IF(DAY(SepDom1)=1,SepDom1+25,SepDom1+32)</f>
        <v>43734</v>
      </c>
      <c r="G8" s="10">
        <f>IF(DAY(SepDom1)=1,SepDom1+26,SepDom1+33)</f>
        <v>43735</v>
      </c>
      <c r="H8" s="10">
        <f>IF(DAY(SepDom1)=1,SepDom1+27,SepDom1+34)</f>
        <v>43736</v>
      </c>
      <c r="I8" s="10">
        <f>IF(DAY(SepDom1)=1,SepDom1+28,SepDom1+35)</f>
        <v>43737</v>
      </c>
      <c r="J8" s="5"/>
      <c r="K8" s="11"/>
      <c r="L8" s="17"/>
      <c r="M8" s="33"/>
      <c r="N8" s="34"/>
    </row>
    <row r="9" spans="1:14" ht="18" customHeight="1" x14ac:dyDescent="0.2">
      <c r="A9" s="4"/>
      <c r="B9" s="36"/>
      <c r="C9" s="10">
        <f>IF(DAY(SepDom1)=1,SepDom1+29,SepDom1+36)</f>
        <v>43738</v>
      </c>
      <c r="D9" s="10">
        <f>IF(DAY(SepDom1)=1,SepDom1+30,SepDom1+37)</f>
        <v>43739</v>
      </c>
      <c r="E9" s="10">
        <f>IF(DAY(SepDom1)=1,SepDom1+31,SepDom1+38)</f>
        <v>43740</v>
      </c>
      <c r="F9" s="10">
        <f>IF(DAY(SepDom1)=1,SepDom1+32,SepDom1+39)</f>
        <v>43741</v>
      </c>
      <c r="G9" s="10">
        <f>IF(DAY(SepDom1)=1,SepDom1+33,SepDom1+40)</f>
        <v>43742</v>
      </c>
      <c r="H9" s="10">
        <f>IF(DAY(SepDom1)=1,SepDom1+34,SepDom1+41)</f>
        <v>43743</v>
      </c>
      <c r="I9" s="10">
        <f>IF(DAY(SepDom1)=1,SepDom1+35,SepDom1+42)</f>
        <v>43744</v>
      </c>
      <c r="J9" s="5"/>
      <c r="K9" s="12"/>
      <c r="L9" s="18"/>
      <c r="M9" s="29"/>
      <c r="N9" s="30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65" t="s">
        <v>12</v>
      </c>
      <c r="L10" s="16"/>
      <c r="M10" s="31"/>
      <c r="N10" s="32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66"/>
      <c r="L11" s="17"/>
      <c r="M11" s="33"/>
      <c r="N11" s="34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66"/>
      <c r="L12" s="17">
        <v>10</v>
      </c>
      <c r="M12" s="33" t="s">
        <v>74</v>
      </c>
      <c r="N12" s="34"/>
    </row>
    <row r="13" spans="1:14" ht="18" customHeight="1" x14ac:dyDescent="0.2">
      <c r="B13" s="3" t="s">
        <v>11</v>
      </c>
      <c r="C13" s="67" t="s">
        <v>12</v>
      </c>
      <c r="D13" s="69"/>
      <c r="E13" s="67" t="s">
        <v>13</v>
      </c>
      <c r="F13" s="69"/>
      <c r="G13" s="67" t="s">
        <v>14</v>
      </c>
      <c r="H13" s="69"/>
      <c r="I13" s="67" t="s">
        <v>15</v>
      </c>
      <c r="J13" s="68"/>
      <c r="K13" s="11"/>
      <c r="L13" s="17">
        <v>17</v>
      </c>
      <c r="M13" s="33" t="s">
        <v>77</v>
      </c>
      <c r="N13" s="34"/>
    </row>
    <row r="14" spans="1:14" ht="18" customHeight="1" x14ac:dyDescent="0.2">
      <c r="B14" s="8"/>
      <c r="C14" s="41"/>
      <c r="D14" s="45"/>
      <c r="E14" s="41"/>
      <c r="F14" s="45"/>
      <c r="G14" s="41"/>
      <c r="H14" s="45"/>
      <c r="I14" s="41"/>
      <c r="J14" s="42"/>
      <c r="K14" s="11"/>
      <c r="L14" s="17"/>
      <c r="M14" s="33"/>
      <c r="N14" s="34"/>
    </row>
    <row r="15" spans="1:14" ht="18" customHeight="1" x14ac:dyDescent="0.2">
      <c r="B15" s="6"/>
      <c r="C15" s="46"/>
      <c r="D15" s="47"/>
      <c r="E15" s="46"/>
      <c r="F15" s="47"/>
      <c r="G15" s="46"/>
      <c r="H15" s="47"/>
      <c r="I15" s="48"/>
      <c r="J15" s="49"/>
      <c r="K15" s="13"/>
      <c r="L15" s="19"/>
      <c r="M15" s="29"/>
      <c r="N15" s="30"/>
    </row>
    <row r="16" spans="1:14" ht="18" customHeight="1" x14ac:dyDescent="0.2">
      <c r="B16" s="8"/>
      <c r="C16" s="41"/>
      <c r="D16" s="45"/>
      <c r="E16" s="41"/>
      <c r="F16" s="45"/>
      <c r="G16" s="41"/>
      <c r="H16" s="45"/>
      <c r="I16" s="50"/>
      <c r="J16" s="51"/>
      <c r="K16" s="82" t="s">
        <v>13</v>
      </c>
      <c r="L16" s="16"/>
      <c r="M16" s="31"/>
      <c r="N16" s="32"/>
    </row>
    <row r="17" spans="2:14" ht="18" customHeight="1" x14ac:dyDescent="0.2">
      <c r="B17" s="6"/>
      <c r="C17" s="46"/>
      <c r="D17" s="47"/>
      <c r="E17" s="46"/>
      <c r="F17" s="47"/>
      <c r="G17" s="46"/>
      <c r="H17" s="47"/>
      <c r="I17" s="48"/>
      <c r="J17" s="49"/>
      <c r="K17" s="83"/>
      <c r="L17" s="17"/>
      <c r="M17" s="33"/>
      <c r="N17" s="34"/>
    </row>
    <row r="18" spans="2:14" ht="18" customHeight="1" x14ac:dyDescent="0.2">
      <c r="B18" s="9"/>
      <c r="C18" s="52"/>
      <c r="D18" s="53"/>
      <c r="E18" s="52"/>
      <c r="F18" s="53"/>
      <c r="G18" s="52"/>
      <c r="H18" s="53"/>
      <c r="I18" s="52"/>
      <c r="J18" s="70"/>
      <c r="K18" s="83"/>
      <c r="L18" s="17"/>
      <c r="M18" s="33"/>
      <c r="N18" s="34"/>
    </row>
    <row r="19" spans="2:14" ht="18" customHeight="1" x14ac:dyDescent="0.2">
      <c r="B19" s="6"/>
      <c r="C19" s="46"/>
      <c r="D19" s="47"/>
      <c r="E19" s="46"/>
      <c r="F19" s="47"/>
      <c r="G19" s="46"/>
      <c r="H19" s="47"/>
      <c r="I19" s="48"/>
      <c r="J19" s="49"/>
      <c r="K19" s="11"/>
      <c r="L19" s="17"/>
      <c r="M19" s="33"/>
      <c r="N19" s="34"/>
    </row>
    <row r="20" spans="2:14" ht="18" customHeight="1" x14ac:dyDescent="0.2">
      <c r="B20" s="8"/>
      <c r="C20" s="41"/>
      <c r="D20" s="45"/>
      <c r="E20" s="41"/>
      <c r="F20" s="45"/>
      <c r="G20" s="41"/>
      <c r="H20" s="45"/>
      <c r="I20" s="41"/>
      <c r="J20" s="42"/>
      <c r="K20" s="11"/>
      <c r="L20" s="17"/>
      <c r="M20" s="33"/>
      <c r="N20" s="34"/>
    </row>
    <row r="21" spans="2:14" ht="18" customHeight="1" x14ac:dyDescent="0.2">
      <c r="B21" s="6"/>
      <c r="C21" s="46"/>
      <c r="D21" s="47"/>
      <c r="E21" s="46"/>
      <c r="F21" s="47"/>
      <c r="G21" s="46"/>
      <c r="H21" s="47"/>
      <c r="I21" s="43"/>
      <c r="J21" s="44"/>
      <c r="K21" s="13"/>
      <c r="L21" s="19"/>
      <c r="M21" s="29"/>
      <c r="N21" s="30"/>
    </row>
    <row r="22" spans="2:14" ht="18" customHeight="1" x14ac:dyDescent="0.2">
      <c r="B22" s="8"/>
      <c r="C22" s="41"/>
      <c r="D22" s="45"/>
      <c r="E22" s="41"/>
      <c r="F22" s="45"/>
      <c r="G22" s="41"/>
      <c r="H22" s="45"/>
      <c r="I22" s="41"/>
      <c r="J22" s="42"/>
      <c r="K22" s="82" t="s">
        <v>14</v>
      </c>
      <c r="L22" s="16"/>
      <c r="M22" s="31"/>
      <c r="N22" s="32"/>
    </row>
    <row r="23" spans="2:14" ht="18" customHeight="1" x14ac:dyDescent="0.2">
      <c r="B23" s="6"/>
      <c r="C23" s="46"/>
      <c r="D23" s="47"/>
      <c r="E23" s="46"/>
      <c r="F23" s="47"/>
      <c r="G23" s="46"/>
      <c r="H23" s="47"/>
      <c r="I23" s="48"/>
      <c r="J23" s="49"/>
      <c r="K23" s="83"/>
      <c r="L23" s="17"/>
      <c r="M23" s="33"/>
      <c r="N23" s="34"/>
    </row>
    <row r="24" spans="2:14" ht="18" customHeight="1" x14ac:dyDescent="0.2">
      <c r="B24" s="8"/>
      <c r="C24" s="41"/>
      <c r="D24" s="45"/>
      <c r="E24" s="41"/>
      <c r="F24" s="45"/>
      <c r="G24" s="41"/>
      <c r="H24" s="45"/>
      <c r="I24" s="41"/>
      <c r="J24" s="42"/>
      <c r="K24" s="83"/>
      <c r="L24" s="17"/>
      <c r="M24" s="33"/>
      <c r="N24" s="34"/>
    </row>
    <row r="25" spans="2:14" ht="18" customHeight="1" x14ac:dyDescent="0.2">
      <c r="B25" s="6"/>
      <c r="C25" s="46"/>
      <c r="D25" s="47"/>
      <c r="E25" s="46"/>
      <c r="F25" s="47"/>
      <c r="G25" s="46"/>
      <c r="H25" s="47"/>
      <c r="I25" s="48"/>
      <c r="J25" s="49"/>
      <c r="K25" s="83"/>
      <c r="L25" s="17">
        <v>26</v>
      </c>
      <c r="M25" s="33" t="s">
        <v>78</v>
      </c>
      <c r="N25" s="34"/>
    </row>
    <row r="26" spans="2:14" ht="18" customHeight="1" x14ac:dyDescent="0.2">
      <c r="B26" s="8"/>
      <c r="C26" s="41"/>
      <c r="D26" s="45"/>
      <c r="E26" s="41"/>
      <c r="F26" s="45"/>
      <c r="G26" s="41"/>
      <c r="H26" s="45"/>
      <c r="I26" s="41"/>
      <c r="J26" s="42"/>
      <c r="K26" s="11"/>
      <c r="L26" s="17"/>
      <c r="M26" s="33"/>
      <c r="N26" s="34"/>
    </row>
    <row r="27" spans="2:14" ht="18" customHeight="1" x14ac:dyDescent="0.2">
      <c r="B27" s="6"/>
      <c r="C27" s="46"/>
      <c r="D27" s="47"/>
      <c r="E27" s="46"/>
      <c r="F27" s="47"/>
      <c r="G27" s="46"/>
      <c r="H27" s="47"/>
      <c r="I27" s="48"/>
      <c r="J27" s="49"/>
      <c r="K27" s="13"/>
      <c r="L27" s="19"/>
      <c r="M27" s="29"/>
      <c r="N27" s="30"/>
    </row>
    <row r="28" spans="2:14" ht="18" customHeight="1" x14ac:dyDescent="0.2">
      <c r="B28" s="8"/>
      <c r="C28" s="41"/>
      <c r="D28" s="45"/>
      <c r="E28" s="41"/>
      <c r="F28" s="45"/>
      <c r="G28" s="41"/>
      <c r="H28" s="45"/>
      <c r="I28" s="41"/>
      <c r="J28" s="42"/>
      <c r="K28" s="65" t="s">
        <v>15</v>
      </c>
      <c r="L28" s="16"/>
      <c r="M28" s="31"/>
      <c r="N28" s="32"/>
    </row>
    <row r="29" spans="2:14" ht="18" customHeight="1" x14ac:dyDescent="0.2">
      <c r="B29" s="6"/>
      <c r="C29" s="46"/>
      <c r="D29" s="47"/>
      <c r="E29" s="46"/>
      <c r="F29" s="47"/>
      <c r="G29" s="46"/>
      <c r="H29" s="47"/>
      <c r="I29" s="46"/>
      <c r="J29" s="64"/>
      <c r="K29" s="66"/>
      <c r="L29" s="17"/>
      <c r="M29" s="33"/>
      <c r="N29" s="34"/>
    </row>
    <row r="30" spans="2:14" ht="18" customHeight="1" x14ac:dyDescent="0.2">
      <c r="B30" s="56" t="s">
        <v>26</v>
      </c>
      <c r="C30" s="57"/>
      <c r="D30" s="57"/>
      <c r="E30" s="57"/>
      <c r="F30" s="57"/>
      <c r="G30" s="57"/>
      <c r="H30" s="57"/>
      <c r="I30" s="57"/>
      <c r="J30" s="58"/>
      <c r="K30" s="66"/>
      <c r="L30" s="17"/>
      <c r="M30" s="33"/>
      <c r="N30" s="34"/>
    </row>
    <row r="31" spans="2:14" ht="18" customHeight="1" x14ac:dyDescent="0.2">
      <c r="B31" s="59"/>
      <c r="C31" s="60"/>
      <c r="D31" s="60"/>
      <c r="E31" s="60"/>
      <c r="F31" s="60"/>
      <c r="G31" s="60"/>
      <c r="H31" s="60"/>
      <c r="I31" s="60"/>
      <c r="J31" s="61"/>
      <c r="K31" s="14"/>
      <c r="L31" s="17"/>
      <c r="M31" s="33"/>
      <c r="N31" s="34"/>
    </row>
    <row r="32" spans="2:14" ht="18" customHeight="1" x14ac:dyDescent="0.2">
      <c r="B32" s="59"/>
      <c r="C32" s="60"/>
      <c r="D32" s="60"/>
      <c r="E32" s="60"/>
      <c r="F32" s="60"/>
      <c r="G32" s="60"/>
      <c r="H32" s="60"/>
      <c r="I32" s="60"/>
      <c r="J32" s="61"/>
      <c r="K32" s="14"/>
      <c r="L32" s="17"/>
      <c r="M32" s="33"/>
      <c r="N32" s="34"/>
    </row>
    <row r="33" spans="2:14" ht="18" customHeight="1" x14ac:dyDescent="0.2">
      <c r="B33" s="7"/>
      <c r="C33" s="54"/>
      <c r="D33" s="55"/>
      <c r="E33" s="54"/>
      <c r="F33" s="55"/>
      <c r="G33" s="54"/>
      <c r="H33" s="55"/>
      <c r="I33" s="62"/>
      <c r="J33" s="63"/>
      <c r="K33" s="15"/>
      <c r="L33" s="20"/>
      <c r="M33" s="71"/>
      <c r="N33" s="72"/>
    </row>
    <row r="34" spans="2:14" ht="16.5" customHeight="1" x14ac:dyDescent="0.2">
      <c r="K34" s="1" t="s">
        <v>75</v>
      </c>
      <c r="L34" t="s">
        <v>76</v>
      </c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19" priority="4" stopIfTrue="1">
      <formula>DAY(C4)&gt;8</formula>
    </cfRule>
  </conditionalFormatting>
  <conditionalFormatting sqref="C8:I10">
    <cfRule type="expression" dxfId="18" priority="3" stopIfTrue="1">
      <formula>AND(DAY(C8)&gt;=1,DAY(C8)&lt;=15)</formula>
    </cfRule>
  </conditionalFormatting>
  <conditionalFormatting sqref="C4:I9">
    <cfRule type="expression" dxfId="17" priority="5">
      <formula>VLOOKUP(DAY(C4),DíasDeTareas,1,FALSE)=DAY(C4)</formula>
    </cfRule>
  </conditionalFormatting>
  <conditionalFormatting sqref="B14:J29 B33:J33">
    <cfRule type="expression" dxfId="16" priority="2">
      <formula>B14&lt;&gt;""</formula>
    </cfRule>
  </conditionalFormatting>
  <conditionalFormatting sqref="B30">
    <cfRule type="expression" dxfId="15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37</vt:i4>
      </vt:variant>
    </vt:vector>
  </HeadingPairs>
  <TitlesOfParts>
    <vt:vector size="4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Año_Calendario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Abril!DíasDeTareas</vt:lpstr>
      <vt:lpstr>Agosto!DíasDeTareas</vt:lpstr>
      <vt:lpstr>Diciembre!DíasDeTareas</vt:lpstr>
      <vt:lpstr>Febrero!DíasDeTareas</vt:lpstr>
      <vt:lpstr>Julio!DíasDeTareas</vt:lpstr>
      <vt:lpstr>Junio!DíasDeTareas</vt:lpstr>
      <vt:lpstr>Marzo!DíasDeTareas</vt:lpstr>
      <vt:lpstr>Mayo!DíasDeTareas</vt:lpstr>
      <vt:lpstr>Noviembre!DíasDeTareas</vt:lpstr>
      <vt:lpstr>Octubre!DíasDeTareas</vt:lpstr>
      <vt:lpstr>Septiembre!DíasDeTareas</vt:lpstr>
      <vt:lpstr>DíasDeTareas</vt:lpstr>
      <vt:lpstr>Abril!TablaFechasImportantes</vt:lpstr>
      <vt:lpstr>Agosto!TablaFechasImportantes</vt:lpstr>
      <vt:lpstr>Diciembre!TablaFechasImportantes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Noviembre!TablaFechasImportantes</vt:lpstr>
      <vt:lpstr>Octubre!TablaFechasImportantes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Transparencia Tecolotlán</cp:lastModifiedBy>
  <cp:lastPrinted>2021-04-29T18:53:22Z</cp:lastPrinted>
  <dcterms:created xsi:type="dcterms:W3CDTF">2015-11-13T18:10:35Z</dcterms:created>
  <dcterms:modified xsi:type="dcterms:W3CDTF">2021-04-29T18:54:36Z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